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suedtirolerbauernbund.sharepoint.com/sites/INNOLeguminosen/Shared Documents/General/AP2-auf das Feld/04_Verbreitungs- &amp; Infomaterial/02_Wirtschaftlichkeitsrechner/"/>
    </mc:Choice>
  </mc:AlternateContent>
  <xr:revisionPtr revIDLastSave="0" documentId="8_{2DE514EE-E139-4D3F-B891-B31C1EC4F963}" xr6:coauthVersionLast="47" xr6:coauthVersionMax="47" xr10:uidLastSave="{00000000-0000-0000-0000-000000000000}"/>
  <bookViews>
    <workbookView xWindow="-120" yWindow="-120" windowWidth="29040" windowHeight="15720" xr2:uid="{00000000-000D-0000-FFFF-FFFF00000000}"/>
  </bookViews>
  <sheets>
    <sheet name="Zusammenfassung" sheetId="6" r:id="rId1"/>
    <sheet name="Berechnung mit Trocknungsanlage" sheetId="1" state="hidden" r:id="rId2"/>
    <sheet name="Arbeitskosten" sheetId="2" state="hidden" r:id="rId3"/>
    <sheet name="Saatgutkosten"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E21" i="6"/>
  <c r="E63" i="6"/>
  <c r="D28" i="6"/>
  <c r="E15" i="4"/>
  <c r="E40" i="6"/>
  <c r="D4" i="2"/>
  <c r="I4" i="2" s="1"/>
  <c r="E41" i="6"/>
  <c r="E42" i="6"/>
  <c r="E39" i="6"/>
  <c r="E37" i="6"/>
  <c r="E38" i="6"/>
  <c r="E36" i="6"/>
  <c r="E35" i="6"/>
  <c r="E34" i="6"/>
  <c r="E32" i="6"/>
  <c r="E33" i="6"/>
  <c r="E31" i="6"/>
  <c r="E28" i="6"/>
  <c r="E22" i="4"/>
  <c r="E23" i="4"/>
  <c r="E24" i="4"/>
  <c r="J10" i="2"/>
  <c r="C14" i="1"/>
  <c r="K24" i="6"/>
  <c r="C8" i="1"/>
  <c r="C31" i="6"/>
  <c r="C28" i="6"/>
  <c r="K40" i="6"/>
  <c r="E19" i="4"/>
  <c r="E20" i="4"/>
  <c r="E21" i="4"/>
  <c r="D11" i="2"/>
  <c r="E11" i="2" s="1"/>
  <c r="D7" i="2"/>
  <c r="E7" i="2" s="1"/>
  <c r="F28" i="6" l="1"/>
  <c r="D49" i="1"/>
  <c r="D44" i="1"/>
  <c r="E18" i="4"/>
  <c r="D22" i="1" s="1"/>
  <c r="D5" i="2"/>
  <c r="E5" i="2" s="1"/>
  <c r="D6" i="2"/>
  <c r="E6" i="2" s="1"/>
  <c r="D8" i="2"/>
  <c r="E8" i="2" s="1"/>
  <c r="D9" i="2"/>
  <c r="D10" i="2"/>
  <c r="E10" i="2" s="1"/>
  <c r="E12" i="2"/>
  <c r="D13" i="2"/>
  <c r="E13" i="2" s="1"/>
  <c r="E4" i="2"/>
  <c r="K33" i="6"/>
  <c r="E9" i="2" l="1"/>
  <c r="C10" i="1" s="1"/>
  <c r="K20" i="6" s="1"/>
  <c r="L32" i="6"/>
  <c r="C13" i="1"/>
  <c r="K23" i="6" s="1"/>
  <c r="C11" i="1"/>
  <c r="K21" i="6" s="1"/>
  <c r="C9" i="1"/>
  <c r="K19" i="6" s="1"/>
  <c r="I11" i="2"/>
  <c r="I8" i="2"/>
  <c r="I10" i="2"/>
  <c r="I9" i="2"/>
  <c r="I7" i="2"/>
  <c r="I6" i="2"/>
  <c r="I5" i="2"/>
  <c r="F56" i="6" l="1"/>
  <c r="J4" i="2" l="1"/>
  <c r="E16" i="4" l="1"/>
  <c r="E17" i="4"/>
  <c r="E14" i="4"/>
  <c r="D21" i="1" s="1"/>
  <c r="L25" i="6"/>
  <c r="L24" i="6"/>
  <c r="C12" i="1"/>
  <c r="K22" i="6" s="1"/>
  <c r="J8" i="2"/>
  <c r="J11" i="2"/>
  <c r="J9" i="2"/>
  <c r="J6" i="2"/>
  <c r="J5" i="2"/>
  <c r="J7" i="2"/>
  <c r="L23" i="6" l="1"/>
  <c r="D20" i="1"/>
  <c r="C21" i="1"/>
  <c r="C20" i="1"/>
  <c r="C15" i="1"/>
  <c r="J12" i="2"/>
  <c r="K25" i="6" l="1"/>
  <c r="D48" i="1"/>
  <c r="D47" i="1"/>
  <c r="C48" i="1"/>
  <c r="C47" i="1"/>
  <c r="D42" i="1"/>
  <c r="C42" i="1"/>
  <c r="G42" i="1" s="1"/>
  <c r="L26" i="6" l="1"/>
  <c r="C43" i="1"/>
  <c r="G47" i="1" l="1"/>
  <c r="E14" i="2" l="1"/>
  <c r="G48" i="1"/>
  <c r="H12" i="1"/>
  <c r="D43" i="1"/>
  <c r="H43" i="1" s="1"/>
  <c r="G43" i="1"/>
  <c r="C16" i="1" l="1"/>
  <c r="D27" i="1" s="1"/>
  <c r="H47" i="1"/>
  <c r="H48" i="1"/>
  <c r="H42" i="1"/>
  <c r="D62" i="1" l="1"/>
  <c r="D57" i="1"/>
  <c r="L20" i="6"/>
  <c r="L28" i="6" s="1"/>
  <c r="D26" i="1"/>
  <c r="D56" i="1" s="1"/>
  <c r="D25" i="1"/>
  <c r="D60" i="1" s="1"/>
  <c r="C26" i="1"/>
  <c r="C61" i="1" s="1"/>
  <c r="C25" i="1"/>
  <c r="G56" i="1" s="1"/>
  <c r="K56" i="1" s="1"/>
  <c r="C56" i="1" l="1"/>
  <c r="D55" i="1"/>
  <c r="G60" i="1"/>
  <c r="K60" i="1" s="1"/>
  <c r="G55" i="1"/>
  <c r="K55" i="1" s="1"/>
  <c r="G61" i="1"/>
  <c r="K61" i="1" s="1"/>
  <c r="D61" i="1"/>
  <c r="H61" i="1"/>
  <c r="L61" i="1" s="1"/>
  <c r="H60" i="1"/>
  <c r="L60" i="1" s="1"/>
  <c r="H55" i="1"/>
  <c r="L55" i="1" s="1"/>
  <c r="H56" i="1"/>
  <c r="L56" i="1" s="1"/>
  <c r="C60" i="1"/>
  <c r="C55" i="1"/>
  <c r="K26" i="6"/>
  <c r="K28" i="6" s="1"/>
  <c r="E22" i="6"/>
  <c r="K36" i="6" s="1"/>
  <c r="K29" i="6"/>
  <c r="L29" i="6"/>
  <c r="L30" i="6" s="1"/>
  <c r="L37" i="6" s="1"/>
  <c r="L40" i="6" s="1"/>
  <c r="K30" i="6" l="1"/>
  <c r="K31" i="6" s="1"/>
  <c r="K37" i="6" s="1"/>
  <c r="K38" i="6" s="1"/>
  <c r="L38" i="6"/>
  <c r="L41" i="6" s="1"/>
  <c r="K41" i="6" l="1"/>
  <c r="K4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AAlber</author>
    <author>Luggin Lukas</author>
  </authors>
  <commentList>
    <comment ref="E17" authorId="0" shapeId="0" xr:uid="{093E5E25-C144-4AA0-9FF8-016FFB076208}">
      <text>
        <r>
          <rPr>
            <b/>
            <sz val="9"/>
            <color indexed="81"/>
            <rFont val="MetaBook-Roman"/>
            <family val="2"/>
          </rPr>
          <t>INNOLeguminosen - Team:</t>
        </r>
        <r>
          <rPr>
            <sz val="9"/>
            <color indexed="81"/>
            <rFont val="MetaBook-Roman"/>
            <family val="2"/>
          </rPr>
          <t xml:space="preserve">
Über das Dropdown-Menü können auch andere Kulturen ausgewählt werden. Falls die gewünschte Kultur nicht enthalten ist, kann im Reiter „Saatgutkosten“ eine neue Kultur anstelle von „Kultur A“ angegeben werden. Hier müssen weitere Standardwerte, wie Preis sowie Aussaat- und Erntemenge, angegeben werden. Diese können unter dem Reiter auch für bestehende Kulturen modifiziert werden.</t>
        </r>
      </text>
    </comment>
    <comment ref="K18" authorId="1" shapeId="0" xr:uid="{5E8DA983-7FD2-4A54-AE14-C1AFFB3FF3A9}">
      <text>
        <r>
          <rPr>
            <b/>
            <sz val="9"/>
            <color indexed="81"/>
            <rFont val="Segoe UI"/>
            <family val="2"/>
          </rPr>
          <t>INNOleguminosen - Team:</t>
        </r>
        <r>
          <rPr>
            <sz val="9"/>
            <color indexed="81"/>
            <rFont val="Segoe UI"/>
            <family val="2"/>
          </rPr>
          <t xml:space="preserve">
Die Bergungskosten können je nach Fall die reinen Wasserkosten sowie die Anschaffungskosten für Beregnungsanlagen umfassen. Wenn es sich um Anschaffungskosten handelt, müssen auch die jährlichen Abschreibungskosten berücksichtigt werden. In manchen Fällen sind es auch die Kosten für die Mitgliedschaft im Beregnungskonsortium.
</t>
        </r>
      </text>
    </comment>
    <comment ref="E20" authorId="1" shapeId="0" xr:uid="{2FCA0A13-6428-4181-90E3-CBE3BC4207F2}">
      <text>
        <r>
          <rPr>
            <b/>
            <sz val="9"/>
            <color indexed="81"/>
            <rFont val="Segoe UI"/>
            <family val="2"/>
          </rPr>
          <t>INNOLeguminosen - Team:</t>
        </r>
        <r>
          <rPr>
            <sz val="9"/>
            <color indexed="81"/>
            <rFont val="Segoe UI"/>
            <family val="2"/>
          </rPr>
          <t xml:space="preserve">
Der Ausfall beträgt nicht jedes Jahr 20 %. Es handelt sich hierbei um einen Durchschnittswert, der berücksichtigt, dass Pflanzenschutzmittel nicht immer die günstigste Lösung sind und dass es in manchen Jahren auch zu Totalausfällen durch Unwetter kommen kann. Der Wert hängt zudem stark von der für die Pflege zur Verfügung stehenden Zeit ab.</t>
        </r>
      </text>
    </comment>
    <comment ref="E23" authorId="1" shapeId="0" xr:uid="{8E56BB10-B7D7-4E27-A645-60E04F879044}">
      <text>
        <r>
          <rPr>
            <b/>
            <sz val="9"/>
            <color indexed="81"/>
            <rFont val="Segoe UI"/>
            <family val="2"/>
          </rPr>
          <t xml:space="preserve">INNOLeguminosen - Team: 
</t>
        </r>
        <r>
          <rPr>
            <sz val="9"/>
            <color indexed="81"/>
            <rFont val="Segoe UI"/>
            <family val="2"/>
          </rPr>
          <t>Flächenprämie, wie zum Beispiel  Betriebsprämie. Muss je nach Anzahl der Betriebszweige aufgeteilt werden.</t>
        </r>
      </text>
    </comment>
    <comment ref="E27" authorId="1" shapeId="0" xr:uid="{56CC4B92-73DB-46C3-9219-30BD7C7EA891}">
      <text>
        <r>
          <rPr>
            <b/>
            <sz val="9"/>
            <color indexed="81"/>
            <rFont val="Segoe UI"/>
            <family val="2"/>
          </rPr>
          <t>INNOLeguminosen - Team:</t>
        </r>
        <r>
          <rPr>
            <sz val="9"/>
            <color indexed="81"/>
            <rFont val="Segoe UI"/>
            <family val="2"/>
          </rPr>
          <t xml:space="preserve">
Die Aussaatmenge pro Hektar wird in der Regel vom Saatguthersteller vorgegeben. Je nach Ausbringungs- und Bearbeitungsmethode können jedoch erhebliche Schwankungen auftreten. Unter dem Reiter „Saatgutkosten“ können die Aussaatmenge und der Preis angepasst werden.</t>
        </r>
      </text>
    </comment>
    <comment ref="E30" authorId="1" shapeId="0" xr:uid="{BDCD8A4D-6EC7-42AA-B72D-FDCF49B6AE1F}">
      <text>
        <r>
          <rPr>
            <b/>
            <sz val="9"/>
            <color indexed="81"/>
            <rFont val="Segoe UI"/>
            <family val="2"/>
          </rPr>
          <t xml:space="preserve">INNOLeguminosen - Team: 
</t>
        </r>
        <r>
          <rPr>
            <sz val="9"/>
            <color indexed="81"/>
            <rFont val="Segoe UI"/>
            <family val="2"/>
          </rPr>
          <t xml:space="preserve">Bei den Maschinenstundenpreisen (Liste 2024)  handelt es sich um Vergleichswerte des Südtiroler Maschinenrings oder vergleichbarer Organisationen. In diesen Preisen sind bereits Kosten für Versicherung, Investition und Arbeitszeit enthalten. Sollte Die Maschinenstundenpreise basieren auf Vergleichswerten des Südtiroler Maschinenrings oder ähnlicher Organisationen. Diese Preise beinhalten bereits die Kosten für Versicherung, Investition und Arbeitszeit. Sollte aufgrund der Größe der Anbaufläche oder anderer Faktoren eine manuelle Nacharbeit oder zusätzliche manuelle Arbeit erforderlich sein, kann dies durch eine Erhöhung des zeitlichen Hektaraufwands berücksichtigt werden. Eine vollständige manuelle Bearbeitung des Bodens kann im Rechner jedoch nicht abgebildet werden. 
</t>
        </r>
      </text>
    </comment>
    <comment ref="K38" authorId="1" shapeId="0" xr:uid="{73A4286F-9723-40D6-B570-217F88EAAA90}">
      <text>
        <r>
          <rPr>
            <b/>
            <sz val="9"/>
            <color indexed="81"/>
            <rFont val="Segoe UI"/>
            <family val="2"/>
          </rPr>
          <t>INNOLegumuinosen - Team:</t>
        </r>
        <r>
          <rPr>
            <sz val="9"/>
            <color indexed="81"/>
            <rFont val="Segoe UI"/>
            <family val="2"/>
          </rPr>
          <t xml:space="preserve">
Das Betriebsergebnis ist nicht proportional zur Fläche. Das bedeutet, dass 2 Hektar nicht das doppelte Ergebnis von 1 Hektar liefern. Der Grund dafür ist, dass bestimmte Kosten, wie zum Beispiel die Abschreibung der Trocknungsanlage, in beiden Fällen gleich bleiben.</t>
        </r>
      </text>
    </comment>
    <comment ref="F44" authorId="1" shapeId="0" xr:uid="{D1A183BC-40F3-4CD1-8C35-2E5B39951B7C}">
      <text>
        <r>
          <rPr>
            <b/>
            <sz val="9"/>
            <color indexed="81"/>
            <rFont val="Segoe UI"/>
            <family val="2"/>
          </rPr>
          <t xml:space="preserve">INNOLeguminosen - Team:
</t>
        </r>
        <r>
          <rPr>
            <sz val="9"/>
            <color indexed="81"/>
            <rFont val="Segoe UI"/>
            <family val="2"/>
          </rPr>
          <t xml:space="preserve">Die angegebenen Arbeitszeiten basieren auf geschätzten Richtwerten aus der Literatur. Je nach Anbaugröße können die Arbeitszeiten pro Hektar jedoch stark variieren. Die Referenzgrößen beziehen sich meist auf relativ große Anbauflächen. Kleinere Flächen erfordern aufgrund zusätzlicher Anfahrten, Wendungen und anderer Faktoren oft einen höheren Zeitaufwand. Sollte aufgrund der Größe der Anbaufläche oder anderer Faktoren eine manuelle Nacharbeit oder zusätzliche manuelle Arbeit erforderlich sein, kann dies im folgenden Feld berücksichtigt werden. Nach einigen Anbaujahren empfiehlt es sich, den Zeitaufwand für den eigenen Betrieb zu messen.
</t>
        </r>
      </text>
    </comment>
    <comment ref="F56" authorId="1" shapeId="0" xr:uid="{4FC2173C-43E9-43A2-A67B-608670CF6A54}">
      <text>
        <r>
          <rPr>
            <b/>
            <sz val="9"/>
            <color indexed="81"/>
            <rFont val="Segoe UI"/>
            <family val="2"/>
          </rPr>
          <t xml:space="preserve">INNOLeguminosen - Team:
</t>
        </r>
        <r>
          <rPr>
            <sz val="9"/>
            <color indexed="81"/>
            <rFont val="Segoe UI"/>
            <family val="2"/>
          </rPr>
          <t>Die Stundenlohnkosten orientieren sich an den Sätzen des Südtiroler Maschinenrings, können jedoch je nach Qualifikation und Position im Betrieb variieren. Der Wirtschaftlichkeitsrechner ist in erster Linie auf eine maschinelle Bearbeitung ausgelegt. Falls die Bearbeitung ausschließlich per Hand erfolgt, sollte dies gesondert berücksichtigt werden, da sich sowohl die Arbeitskosten als auch der Zeitaufwand erheblich unterscheiden können.</t>
        </r>
      </text>
    </comment>
    <comment ref="F59" authorId="1" shapeId="0" xr:uid="{B9DF8D11-F6CE-4258-BE64-5593973F6032}">
      <text>
        <r>
          <rPr>
            <b/>
            <sz val="9"/>
            <color indexed="81"/>
            <rFont val="Segoe UI"/>
            <family val="2"/>
          </rPr>
          <t>INNOLeguminosen - Team:</t>
        </r>
        <r>
          <rPr>
            <sz val="9"/>
            <color indexed="81"/>
            <rFont val="Segoe UI"/>
            <family val="2"/>
          </rPr>
          <t xml:space="preserve">
Für die Produktion und Lagerung von Leguminosen wird unter anderem eine Trocknungsanlage benötigt. Diese kann kostenintensiv sein, weshalb sowohl die Anschaffungskosten als auch die jährlichen Instandhaltungskosten berücksichtigt werden müssen.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Luggin Lukas</author>
  </authors>
  <commentList>
    <comment ref="D13" authorId="0" shapeId="0" xr:uid="{AB2197A7-0AF1-410A-A924-0CFE80A6FCA8}">
      <text>
        <r>
          <rPr>
            <b/>
            <sz val="9"/>
            <color indexed="81"/>
            <rFont val="Segoe UI"/>
            <family val="2"/>
          </rPr>
          <t>INNOLeguminosen - Team:</t>
        </r>
        <r>
          <rPr>
            <sz val="9"/>
            <color indexed="81"/>
            <rFont val="Segoe UI"/>
            <family val="2"/>
          </rPr>
          <t xml:space="preserve">
Die Aussaatmengen basieren auf Durchschnittswerten aus den Anbauversuchen des Versuchszentrums Laimburg sowie auf Mittelwerten aus der Fachliteratur. Je nach verwendeter Ausbringungsmethode kann es erforderlich sein, mehr Saatgut zu verwenden.</t>
        </r>
      </text>
    </comment>
    <comment ref="F13" authorId="0" shapeId="0" xr:uid="{53298890-931B-4ABB-9758-DC227C657E2D}">
      <text>
        <r>
          <rPr>
            <b/>
            <sz val="9"/>
            <color indexed="81"/>
            <rFont val="Segoe UI"/>
            <family val="2"/>
          </rPr>
          <t>INNOLeguminosen - Team: :</t>
        </r>
        <r>
          <rPr>
            <sz val="9"/>
            <color indexed="81"/>
            <rFont val="Segoe UI"/>
            <family val="2"/>
          </rPr>
          <t xml:space="preserve">
Die durchschnittliche Erntemenge variiert erheblich je nach verwendeter Sorte, da unterschiedliche Sorten spezifische Anforderungen und Toleranzen gegenüber Boden- und Klimabedingungen haben. Die angegebenen Werte basieren auf einschlägiger Fachliteratur und Versuchen des Versuchszentrums Laimburg. Auch die Erntemethode und der Erntezeitpunkt beeinflussen die Erntemenge maßgeblich. Zudem ist die Qualität des Ernteguts von großer Bedeutung.</t>
        </r>
      </text>
    </comment>
  </commentList>
</comments>
</file>

<file path=xl/sharedStrings.xml><?xml version="1.0" encoding="utf-8"?>
<sst xmlns="http://schemas.openxmlformats.org/spreadsheetml/2006/main" count="270" uniqueCount="134">
  <si>
    <r>
      <t xml:space="preserve">Wirtschaftlichkeitsberechnung Leguminosenanbau </t>
    </r>
    <r>
      <rPr>
        <sz val="12"/>
        <color rgb="FF698A48"/>
        <rFont val="MetaBook-Roman"/>
        <family val="2"/>
      </rPr>
      <t xml:space="preserve">(Stand Jänner 2025) </t>
    </r>
  </si>
  <si>
    <t>Erarbeitet vom Beratungsring Berglandwirtschaft (BRING) in Zusamenarbeit mit der SBB-Abteilung Innovation &amp; Energie, der SBB-Abteilung Betriebsberatung und dem Versuchszentrum Laimburg</t>
  </si>
  <si>
    <t>Ein landwirtschaftlicher Betrieb folgt den gleichen Prinzipien wie jedes andere Unternehmen: Er strebt nach Gewinn, darf dabei aber die Nachhaltigkeit nicht vernachlässigen. Die Kostenrechnung hilft dem Landwirt, die Wirtschaftlichkeit seiner Produktion im Blick zu behalten und auf Basis der Produktionskosten den Preis für das Endprodukt festzulegen. Mit Hilfe des vorliegenden Rechners können die Kosten für die Rohstoffproduktion vor der anschließenden Veredelung ermittelt werden.
Der Rechner ist so konzipiert, dass mehrere Leguminosen ausgewählt werden können. Er ist für den flächendeckenden Anbau von Leguminosen und deren mögliche Weiterverarbeitung ausgelegt, nicht für den Direktverkauf an den Konsumenten. Es ist wichtig, den Preis je nach Absatzkanal anzupassen. Der Wirtschaftlichkeitsrechner wurde im Rahmen des EU-geförderten Projekts INNOLeguminosen vom Beratungsring Berglandwirtschaft, dem Versuchszentrum Laimburg und dem Südtiroler Bauernbund erstellt.</t>
  </si>
  <si>
    <t>Die Kostenangaben in den folgenden Tabellen sind immer als indikativ zu verstehen. Der effektive Kostenaufwand hängt von der jeweiligen Betriebsorganisation und -struktur ab.</t>
  </si>
  <si>
    <t>Produktionstechnik</t>
  </si>
  <si>
    <t>Betriebszweigergebnis</t>
  </si>
  <si>
    <t>Produktionsparameter</t>
  </si>
  <si>
    <t>Kultur</t>
  </si>
  <si>
    <t>Soja</t>
  </si>
  <si>
    <t>Produktionskosten</t>
  </si>
  <si>
    <t>jährliche Pacht</t>
  </si>
  <si>
    <t>Anbaufläche in m2</t>
  </si>
  <si>
    <t xml:space="preserve">Beregnung </t>
  </si>
  <si>
    <t>Fläche in Hektar</t>
  </si>
  <si>
    <t>Pflügen &amp; Saatbettbereitung</t>
  </si>
  <si>
    <t>Ausfall</t>
  </si>
  <si>
    <t>Düngung</t>
  </si>
  <si>
    <t>Aussaat</t>
  </si>
  <si>
    <t>Walzen</t>
  </si>
  <si>
    <t>Prämie</t>
  </si>
  <si>
    <t>Striegeln</t>
  </si>
  <si>
    <t>Verkaufspreis</t>
  </si>
  <si>
    <t>Mähdrusch</t>
  </si>
  <si>
    <t>Erntetransport Feld-Lager</t>
  </si>
  <si>
    <t>Sonstige Handarbeit</t>
  </si>
  <si>
    <t>Pflanzenbau - Kosten</t>
  </si>
  <si>
    <t>Preis</t>
  </si>
  <si>
    <t>Aussaatmengen</t>
  </si>
  <si>
    <t>Kosten</t>
  </si>
  <si>
    <t>Sonstiges</t>
  </si>
  <si>
    <t>∑</t>
  </si>
  <si>
    <t>Saatgut</t>
  </si>
  <si>
    <t>Mechanisierung - Kosten</t>
  </si>
  <si>
    <t>Position</t>
  </si>
  <si>
    <t>Stundenpreis</t>
  </si>
  <si>
    <t>Produktionskosten pro Anbaufläche</t>
  </si>
  <si>
    <t>Fahrer</t>
  </si>
  <si>
    <t xml:space="preserve">Pflug </t>
  </si>
  <si>
    <t>AFA (Abschreibung)</t>
  </si>
  <si>
    <t>Trocknungsanlage</t>
  </si>
  <si>
    <t>Kreiselegge (3m)</t>
  </si>
  <si>
    <t>Sämaschine</t>
  </si>
  <si>
    <t>Glattwalze</t>
  </si>
  <si>
    <t>Einnahmen + Prämien</t>
  </si>
  <si>
    <t>Hafer kon</t>
  </si>
  <si>
    <t>Miststreuer 1,5 - 2,5 t</t>
  </si>
  <si>
    <t>Heckstapler</t>
  </si>
  <si>
    <t>Striegel (4m)</t>
  </si>
  <si>
    <t>Mindestpreise</t>
  </si>
  <si>
    <t>Parameter</t>
  </si>
  <si>
    <t>Anfahrtspauschale (Mähdrescher)</t>
  </si>
  <si>
    <t>Mindestpreis/kg</t>
  </si>
  <si>
    <t>Zweiachskipper bis 5t</t>
  </si>
  <si>
    <t>Mindestpreis/kg inkl. Prämie</t>
  </si>
  <si>
    <t>Mechanisierung - Arbeitszeitbedarf</t>
  </si>
  <si>
    <t>Art der Arbeit</t>
  </si>
  <si>
    <t>Dauer (h/ha)</t>
  </si>
  <si>
    <t>Richtwerte</t>
  </si>
  <si>
    <t>Pflügen</t>
  </si>
  <si>
    <t>Eggen</t>
  </si>
  <si>
    <t>Säen (Drillssat)</t>
  </si>
  <si>
    <t>Säen (Einzelkornsaat)</t>
  </si>
  <si>
    <t>Hacken</t>
  </si>
  <si>
    <t xml:space="preserve">Mähdrusch </t>
  </si>
  <si>
    <t>Erntetransport</t>
  </si>
  <si>
    <t>Jährlicher Arbeitsaaufwand pro Anbaufläche</t>
  </si>
  <si>
    <t>Kosten (inkl. Nebenkosten) pro Stunde</t>
  </si>
  <si>
    <t>Trockungsanlage - AfA</t>
  </si>
  <si>
    <t>Anaschaffungswert</t>
  </si>
  <si>
    <t>Nutzungsdauer in Jahre</t>
  </si>
  <si>
    <t>jährliche Energiekosten</t>
  </si>
  <si>
    <t>jährliche Instandhaltungskosten</t>
  </si>
  <si>
    <t>jährliche Gesamtkosten (Afa, Energie, usw.)</t>
  </si>
  <si>
    <t>ha gesamt</t>
  </si>
  <si>
    <t>/ Jahr</t>
  </si>
  <si>
    <t>Pacht</t>
  </si>
  <si>
    <t>/ha</t>
  </si>
  <si>
    <t>Trockungsanlage</t>
  </si>
  <si>
    <t>(Anschaffungswert)</t>
  </si>
  <si>
    <t>Jahre Nutzungsdauer</t>
  </si>
  <si>
    <t>Aussaat (DS/EKS)</t>
  </si>
  <si>
    <t>(jährliche Instandhaltungskosten)</t>
  </si>
  <si>
    <t>jährliche Kosten (Afa, Energie, usw.)</t>
  </si>
  <si>
    <t>Striegeln/Hacken</t>
  </si>
  <si>
    <t>/ha Prämie Naturnah</t>
  </si>
  <si>
    <t>/ha Prämie Biologisch</t>
  </si>
  <si>
    <t xml:space="preserve">Saatgutkosten / ha </t>
  </si>
  <si>
    <t>Naturnah</t>
  </si>
  <si>
    <t>Biologisch</t>
  </si>
  <si>
    <t>Roggen</t>
  </si>
  <si>
    <t>Dinkel</t>
  </si>
  <si>
    <t xml:space="preserve">Buchweizen </t>
  </si>
  <si>
    <t>Gesamtausgaben / ha</t>
  </si>
  <si>
    <t>Buchweizen</t>
  </si>
  <si>
    <t>Einnahmen</t>
  </si>
  <si>
    <t xml:space="preserve">Erntemenge / ha </t>
  </si>
  <si>
    <t>Preis / kg</t>
  </si>
  <si>
    <t>Einnahmen / ha ohne Ausfall</t>
  </si>
  <si>
    <t>Einnahmen/ha oA., mit Stroh</t>
  </si>
  <si>
    <t>Stroh</t>
  </si>
  <si>
    <t>Einnahmen / ha mit Ausfall</t>
  </si>
  <si>
    <t>Einnahmen/ha mA., mit Stroh</t>
  </si>
  <si>
    <t>Gewinn ohne Stroh</t>
  </si>
  <si>
    <t>Gewinn mit Stroh</t>
  </si>
  <si>
    <t>Gewinn mit Stroh und Prämie</t>
  </si>
  <si>
    <t>Gewinn / ha ohne Ausfall</t>
  </si>
  <si>
    <t>Gewinn / ha mit Ausfall</t>
  </si>
  <si>
    <t>Kosten/ha</t>
  </si>
  <si>
    <t>Referenzwerte</t>
  </si>
  <si>
    <t>Pflug 2 Schar</t>
  </si>
  <si>
    <t xml:space="preserve">Kreiselegge </t>
  </si>
  <si>
    <t>Zinkenegge</t>
  </si>
  <si>
    <t>Säen</t>
  </si>
  <si>
    <t>Traktor 100 PS</t>
  </si>
  <si>
    <t>Pflug 3Schar</t>
  </si>
  <si>
    <t>Sämaschine (Drillsaat)</t>
  </si>
  <si>
    <t>Sämaschine (EKS)</t>
  </si>
  <si>
    <t>(EK Mais 4 reihig)</t>
  </si>
  <si>
    <t>Hacke</t>
  </si>
  <si>
    <t>(Hackgerät, 4-reihig)</t>
  </si>
  <si>
    <t>Aussaatmenge</t>
  </si>
  <si>
    <r>
      <rPr>
        <sz val="11"/>
        <color theme="1"/>
        <rFont val="Calibri"/>
        <family val="2"/>
      </rPr>
      <t>ǿ</t>
    </r>
    <r>
      <rPr>
        <sz val="11"/>
        <color theme="1"/>
        <rFont val="Aller Light"/>
        <family val="2"/>
      </rPr>
      <t xml:space="preserve"> Erntemenge</t>
    </r>
  </si>
  <si>
    <t>Ackerbohnen</t>
  </si>
  <si>
    <t>Trockenbohnen</t>
  </si>
  <si>
    <t>Lupinen</t>
  </si>
  <si>
    <t>Körnererbsen</t>
  </si>
  <si>
    <t>Gemenge</t>
  </si>
  <si>
    <t>Kichererbsen</t>
  </si>
  <si>
    <t>Linsen</t>
  </si>
  <si>
    <t>Kultur A</t>
  </si>
  <si>
    <t>Kultur B</t>
  </si>
  <si>
    <t>Kultur C</t>
  </si>
  <si>
    <t>Erntemenge Anbaufläche</t>
  </si>
  <si>
    <t>Erntemenge Anbaufläche mit Ausfall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</si>
</sst>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0.00\ &quot;€&quot;;[Red]\-#,##0.00\ &quot;€&quot;"/>
    <numFmt numFmtId="44" formatCode="_-* #,##0.00\ &quot;€&quot;_-;\-* #,##0.00\ &quot;€&quot;_-;_-* &quot;-&quot;??\ &quot;€&quot;_-;_-@_-"/>
    <numFmt numFmtId="164" formatCode="_(* #,##0.00_);_(* \(#,##0.00\);_(* &quot;-&quot;??_);_(@_)"/>
    <numFmt numFmtId="165" formatCode="0\ &quot;kg&quot;"/>
    <numFmt numFmtId="166" formatCode="0.00\ &quot;€ / ha&quot;"/>
    <numFmt numFmtId="167" formatCode="0.0\ &quot;Std.&quot;"/>
    <numFmt numFmtId="168" formatCode="0.00\ &quot;ha&quot;"/>
    <numFmt numFmtId="169" formatCode="0\ %&quot; / Jahr&quot;"/>
    <numFmt numFmtId="170" formatCode="0.00\ &quot;€ / kg&quot;"/>
    <numFmt numFmtId="171" formatCode="0\ &quot;kg / ha&quot;"/>
    <numFmt numFmtId="172" formatCode="0.0\ &quot;€ / ha&quot;"/>
    <numFmt numFmtId="173" formatCode="0&quot; Jahre&quot;"/>
    <numFmt numFmtId="174" formatCode=".0\ &quot;kg / ha&quot;"/>
    <numFmt numFmtId="175" formatCode="\ #&quot; kg / ha&quot;"/>
    <numFmt numFmtId="176" formatCode="0.0\ &quot;€ / kg&quot;"/>
    <numFmt numFmtId="177" formatCode="0.00\ &quot;€ / h&quot;"/>
    <numFmt numFmtId="178" formatCode="0.00\ &quot;m2&quot;"/>
    <numFmt numFmtId="179" formatCode="0.00\ &quot;€&quot;"/>
  </numFmts>
  <fonts count="25">
    <font>
      <sz val="11"/>
      <color theme="1"/>
      <name val="Aller Light"/>
      <family val="2"/>
    </font>
    <font>
      <sz val="11"/>
      <color theme="1"/>
      <name val="Aller Light"/>
      <family val="2"/>
    </font>
    <font>
      <sz val="11"/>
      <color theme="1"/>
      <name val="Calibri"/>
      <family val="2"/>
    </font>
    <font>
      <sz val="22"/>
      <color theme="1"/>
      <name val="Aller Light"/>
      <family val="2"/>
    </font>
    <font>
      <b/>
      <sz val="11"/>
      <color theme="1"/>
      <name val="Aller Light"/>
      <family val="2"/>
    </font>
    <font>
      <b/>
      <sz val="11"/>
      <color theme="0"/>
      <name val="Aller Light"/>
      <family val="2"/>
    </font>
    <font>
      <sz val="16"/>
      <color theme="1"/>
      <name val="Aller Light"/>
      <family val="2"/>
    </font>
    <font>
      <sz val="9"/>
      <color indexed="81"/>
      <name val="Segoe UI"/>
      <family val="2"/>
    </font>
    <font>
      <b/>
      <sz val="9"/>
      <color indexed="81"/>
      <name val="Segoe UI"/>
      <family val="2"/>
    </font>
    <font>
      <sz val="11"/>
      <color rgb="FFFF0000"/>
      <name val="Aller Light"/>
      <family val="2"/>
    </font>
    <font>
      <sz val="11"/>
      <color theme="1"/>
      <name val="MetaBook-Roman"/>
      <family val="2"/>
    </font>
    <font>
      <b/>
      <sz val="24"/>
      <color rgb="FF698A48"/>
      <name val="MetaBook-Roman"/>
      <family val="2"/>
    </font>
    <font>
      <sz val="12"/>
      <color rgb="FF698A48"/>
      <name val="MetaBook-Roman"/>
      <family val="2"/>
    </font>
    <font>
      <sz val="24"/>
      <color rgb="FF698A48"/>
      <name val="MetaBook-Roman"/>
      <family val="2"/>
    </font>
    <font>
      <sz val="11"/>
      <color rgb="FF698A48"/>
      <name val="MetaBook-Roman"/>
      <family val="2"/>
    </font>
    <font>
      <sz val="12"/>
      <name val="MetaBook-Roman"/>
      <family val="2"/>
    </font>
    <font>
      <b/>
      <sz val="11"/>
      <name val="MetaBook-Roman"/>
      <family val="2"/>
    </font>
    <font>
      <sz val="11"/>
      <color rgb="FFFF0000"/>
      <name val="MetaBook-Roman"/>
      <family val="2"/>
    </font>
    <font>
      <sz val="11"/>
      <color theme="7"/>
      <name val="Aller Light"/>
      <family val="2"/>
    </font>
    <font>
      <b/>
      <sz val="9"/>
      <color indexed="81"/>
      <name val="MetaBook-Roman"/>
      <family val="2"/>
    </font>
    <font>
      <sz val="9"/>
      <color indexed="81"/>
      <name val="MetaBook-Roman"/>
      <family val="2"/>
    </font>
    <font>
      <b/>
      <sz val="11"/>
      <color theme="1"/>
      <name val="Aller Light"/>
    </font>
    <font>
      <b/>
      <sz val="11"/>
      <name val="Aller Light"/>
    </font>
    <font>
      <sz val="11"/>
      <name val="Calibri"/>
      <family val="2"/>
    </font>
    <font>
      <sz val="11"/>
      <color theme="0" tint="-0.499984740745262"/>
      <name val="Aller Light"/>
      <family val="2"/>
    </font>
  </fonts>
  <fills count="10">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indexed="9"/>
        <bgColor indexed="64"/>
      </patternFill>
    </fill>
    <fill>
      <patternFill patternType="solid">
        <fgColor rgb="FFD6C7F5"/>
        <bgColor indexed="64"/>
      </patternFill>
    </fill>
    <fill>
      <patternFill patternType="solid">
        <fgColor rgb="FFB8C91F"/>
        <bgColor indexed="64"/>
      </patternFill>
    </fill>
    <fill>
      <patternFill patternType="solid">
        <fgColor rgb="FFE7EF99"/>
        <bgColor indexed="64"/>
      </patternFill>
    </fill>
  </fills>
  <borders count="26">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s>
  <cellStyleXfs count="2">
    <xf numFmtId="0" fontId="0" fillId="0" borderId="0"/>
    <xf numFmtId="44" fontId="1" fillId="0" borderId="0" applyFont="0" applyFill="0" applyBorder="0" applyAlignment="0" applyProtection="0"/>
  </cellStyleXfs>
  <cellXfs count="163">
    <xf numFmtId="0" fontId="0" fillId="0" borderId="0" xfId="0"/>
    <xf numFmtId="44" fontId="0" fillId="0" borderId="0" xfId="1" applyFont="1"/>
    <xf numFmtId="0" fontId="0" fillId="0" borderId="1" xfId="0" applyBorder="1"/>
    <xf numFmtId="44" fontId="0" fillId="0" borderId="1" xfId="1" applyFont="1" applyBorder="1"/>
    <xf numFmtId="44" fontId="0" fillId="0" borderId="0" xfId="0" applyNumberFormat="1"/>
    <xf numFmtId="0" fontId="2" fillId="0" borderId="0" xfId="0" applyFont="1" applyAlignment="1">
      <alignment horizontal="right"/>
    </xf>
    <xf numFmtId="0" fontId="0" fillId="0" borderId="3" xfId="0" applyBorder="1"/>
    <xf numFmtId="0" fontId="0" fillId="0" borderId="2" xfId="0" applyBorder="1" applyAlignment="1">
      <alignment horizontal="right"/>
    </xf>
    <xf numFmtId="0" fontId="3" fillId="0" borderId="0" xfId="0" applyFont="1"/>
    <xf numFmtId="9" fontId="0" fillId="0" borderId="0" xfId="0" applyNumberFormat="1"/>
    <xf numFmtId="44" fontId="0" fillId="3" borderId="0" xfId="0" applyNumberFormat="1" applyFill="1"/>
    <xf numFmtId="8" fontId="0" fillId="0" borderId="0" xfId="0" applyNumberFormat="1"/>
    <xf numFmtId="8" fontId="0" fillId="0" borderId="0" xfId="1" applyNumberFormat="1" applyFont="1"/>
    <xf numFmtId="0" fontId="0" fillId="0" borderId="0" xfId="0" applyAlignment="1">
      <alignment horizontal="right"/>
    </xf>
    <xf numFmtId="0" fontId="0" fillId="0" borderId="4" xfId="0" applyBorder="1"/>
    <xf numFmtId="165" fontId="0" fillId="0" borderId="0" xfId="1" applyNumberFormat="1" applyFont="1"/>
    <xf numFmtId="0" fontId="0" fillId="0" borderId="5" xfId="0" applyBorder="1"/>
    <xf numFmtId="0" fontId="0" fillId="0" borderId="6" xfId="0" applyBorder="1"/>
    <xf numFmtId="0" fontId="0" fillId="0" borderId="2" xfId="0" applyBorder="1"/>
    <xf numFmtId="0" fontId="0" fillId="0" borderId="7" xfId="0" applyBorder="1"/>
    <xf numFmtId="0" fontId="0" fillId="0" borderId="8" xfId="0" applyBorder="1"/>
    <xf numFmtId="44" fontId="0" fillId="0" borderId="6" xfId="1" applyFont="1" applyBorder="1"/>
    <xf numFmtId="44" fontId="0" fillId="0" borderId="0" xfId="1" applyFont="1" applyBorder="1"/>
    <xf numFmtId="44" fontId="0" fillId="0" borderId="4" xfId="1" applyFont="1" applyBorder="1"/>
    <xf numFmtId="44" fontId="0" fillId="0" borderId="2" xfId="1" applyFont="1" applyBorder="1"/>
    <xf numFmtId="44" fontId="0" fillId="0" borderId="3" xfId="1" applyFont="1" applyBorder="1"/>
    <xf numFmtId="0" fontId="0" fillId="4" borderId="12" xfId="0" applyFill="1" applyBorder="1"/>
    <xf numFmtId="0" fontId="0" fillId="4" borderId="13" xfId="0" applyFill="1" applyBorder="1"/>
    <xf numFmtId="0" fontId="0" fillId="4" borderId="14" xfId="0" applyFill="1" applyBorder="1"/>
    <xf numFmtId="0" fontId="0" fillId="3" borderId="12" xfId="0" applyFill="1" applyBorder="1"/>
    <xf numFmtId="0" fontId="0" fillId="3" borderId="13" xfId="0" applyFill="1" applyBorder="1"/>
    <xf numFmtId="44" fontId="4" fillId="3" borderId="14" xfId="1" applyFont="1" applyFill="1" applyBorder="1"/>
    <xf numFmtId="44" fontId="4" fillId="3" borderId="13" xfId="1" applyFont="1" applyFill="1" applyBorder="1"/>
    <xf numFmtId="0" fontId="0" fillId="3" borderId="14" xfId="0" applyFill="1" applyBorder="1"/>
    <xf numFmtId="0" fontId="0" fillId="0" borderId="6" xfId="0" applyBorder="1" applyAlignment="1">
      <alignment vertical="center"/>
    </xf>
    <xf numFmtId="0" fontId="10" fillId="0" borderId="0" xfId="0" applyFont="1" applyAlignment="1" applyProtection="1">
      <alignment vertical="center"/>
      <protection hidden="1"/>
    </xf>
    <xf numFmtId="0" fontId="10" fillId="0" borderId="0" xfId="0" applyFont="1" applyAlignment="1">
      <alignment horizontal="center" vertical="center"/>
    </xf>
    <xf numFmtId="0" fontId="10" fillId="0" borderId="0" xfId="0" applyFont="1" applyAlignment="1">
      <alignment vertical="center"/>
    </xf>
    <xf numFmtId="0" fontId="11" fillId="6" borderId="0" xfId="0" applyFont="1" applyFill="1" applyAlignment="1" applyProtection="1">
      <alignment vertical="center"/>
      <protection hidden="1"/>
    </xf>
    <xf numFmtId="0" fontId="11" fillId="6" borderId="0" xfId="0" applyFont="1" applyFill="1" applyAlignment="1" applyProtection="1">
      <alignment horizontal="left" vertical="center"/>
      <protection hidden="1"/>
    </xf>
    <xf numFmtId="0" fontId="13" fillId="6" borderId="0" xfId="0" applyFont="1" applyFill="1" applyAlignment="1" applyProtection="1">
      <alignment horizontal="left" vertical="center"/>
      <protection hidden="1"/>
    </xf>
    <xf numFmtId="0" fontId="13" fillId="6" borderId="0" xfId="0" applyFont="1" applyFill="1" applyAlignment="1" applyProtection="1">
      <alignment vertical="center"/>
      <protection hidden="1"/>
    </xf>
    <xf numFmtId="0" fontId="14" fillId="6" borderId="0" xfId="0" applyFont="1" applyFill="1" applyAlignment="1" applyProtection="1">
      <alignment vertical="center"/>
      <protection hidden="1"/>
    </xf>
    <xf numFmtId="0" fontId="12" fillId="6" borderId="0" xfId="0" applyFont="1" applyFill="1" applyAlignment="1" applyProtection="1">
      <alignment horizontal="left" vertical="center"/>
      <protection hidden="1"/>
    </xf>
    <xf numFmtId="0" fontId="14" fillId="0" borderId="0" xfId="0" applyFont="1" applyAlignment="1" applyProtection="1">
      <alignment vertical="center"/>
      <protection hidden="1"/>
    </xf>
    <xf numFmtId="0" fontId="17" fillId="0" borderId="0" xfId="0" applyFont="1" applyAlignment="1">
      <alignment vertical="center"/>
    </xf>
    <xf numFmtId="0" fontId="0" fillId="0" borderId="0" xfId="0" applyAlignment="1">
      <alignment vertical="center"/>
    </xf>
    <xf numFmtId="0" fontId="0" fillId="0" borderId="5" xfId="0" applyBorder="1" applyAlignment="1">
      <alignment vertical="center"/>
    </xf>
    <xf numFmtId="0" fontId="0" fillId="0" borderId="4" xfId="0" applyBorder="1" applyAlignment="1">
      <alignment vertical="center"/>
    </xf>
    <xf numFmtId="166" fontId="0" fillId="5" borderId="4" xfId="0" applyNumberFormat="1" applyFill="1" applyBorder="1" applyAlignment="1" applyProtection="1">
      <alignment vertical="center"/>
      <protection locked="0"/>
    </xf>
    <xf numFmtId="0" fontId="18" fillId="0" borderId="0" xfId="0" applyFont="1" applyAlignment="1">
      <alignment vertical="center"/>
    </xf>
    <xf numFmtId="0" fontId="0" fillId="0" borderId="7" xfId="0" applyBorder="1" applyAlignment="1">
      <alignment vertical="center"/>
    </xf>
    <xf numFmtId="0" fontId="0" fillId="0" borderId="2" xfId="0" applyBorder="1" applyAlignment="1">
      <alignment vertical="center"/>
    </xf>
    <xf numFmtId="166" fontId="0" fillId="5" borderId="2" xfId="1" applyNumberFormat="1" applyFont="1" applyFill="1" applyBorder="1" applyAlignment="1" applyProtection="1">
      <alignment vertical="center"/>
      <protection locked="0"/>
    </xf>
    <xf numFmtId="0" fontId="9" fillId="0" borderId="0" xfId="0" applyFont="1" applyAlignment="1">
      <alignment vertical="center"/>
    </xf>
    <xf numFmtId="166" fontId="0" fillId="0" borderId="2" xfId="0" applyNumberFormat="1" applyBorder="1" applyAlignment="1">
      <alignment vertical="center"/>
    </xf>
    <xf numFmtId="0" fontId="0" fillId="0" borderId="8" xfId="0" applyBorder="1" applyAlignment="1">
      <alignment vertical="center"/>
    </xf>
    <xf numFmtId="9" fontId="0" fillId="0" borderId="1" xfId="0" applyNumberFormat="1" applyBorder="1" applyAlignment="1">
      <alignment vertical="center"/>
    </xf>
    <xf numFmtId="0" fontId="0" fillId="0" borderId="3" xfId="0" applyBorder="1" applyAlignment="1">
      <alignment vertical="center"/>
    </xf>
    <xf numFmtId="9" fontId="0" fillId="0" borderId="0" xfId="0" applyNumberFormat="1" applyAlignment="1">
      <alignment vertical="center"/>
    </xf>
    <xf numFmtId="0" fontId="0" fillId="0" borderId="13" xfId="0" applyBorder="1" applyAlignment="1">
      <alignment vertical="center"/>
    </xf>
    <xf numFmtId="0" fontId="0" fillId="0" borderId="14" xfId="0" applyBorder="1" applyAlignment="1">
      <alignment horizontal="right" vertical="center"/>
    </xf>
    <xf numFmtId="166" fontId="0" fillId="5" borderId="3" xfId="1" applyNumberFormat="1" applyFont="1" applyFill="1" applyBorder="1" applyAlignment="1" applyProtection="1">
      <alignment vertical="center"/>
      <protection locked="0"/>
    </xf>
    <xf numFmtId="0" fontId="0" fillId="0" borderId="12" xfId="0" applyBorder="1" applyAlignment="1">
      <alignment vertical="center"/>
    </xf>
    <xf numFmtId="166" fontId="0" fillId="0" borderId="14" xfId="0" applyNumberFormat="1" applyBorder="1" applyAlignment="1">
      <alignment vertical="center"/>
    </xf>
    <xf numFmtId="166" fontId="0" fillId="0" borderId="3" xfId="1" applyNumberFormat="1" applyFont="1" applyBorder="1" applyAlignment="1">
      <alignment vertical="center"/>
    </xf>
    <xf numFmtId="0" fontId="0" fillId="0" borderId="14" xfId="0" applyBorder="1" applyAlignment="1">
      <alignment vertical="center"/>
    </xf>
    <xf numFmtId="166" fontId="0" fillId="0" borderId="3" xfId="0" applyNumberFormat="1" applyBorder="1" applyAlignment="1">
      <alignment vertical="center"/>
    </xf>
    <xf numFmtId="166" fontId="0" fillId="0" borderId="14" xfId="1" applyNumberFormat="1" applyFont="1" applyBorder="1" applyAlignment="1">
      <alignment vertical="center"/>
    </xf>
    <xf numFmtId="44" fontId="0" fillId="0" borderId="4" xfId="0" applyNumberFormat="1" applyBorder="1" applyAlignment="1">
      <alignment vertical="center"/>
    </xf>
    <xf numFmtId="44" fontId="0" fillId="0" borderId="0" xfId="1" applyFont="1" applyBorder="1" applyAlignment="1">
      <alignment vertical="center"/>
    </xf>
    <xf numFmtId="44" fontId="0" fillId="0" borderId="3" xfId="1" applyFont="1" applyBorder="1" applyAlignment="1">
      <alignment vertical="center"/>
    </xf>
    <xf numFmtId="44" fontId="0" fillId="0" borderId="14" xfId="1" applyFont="1" applyBorder="1" applyAlignment="1">
      <alignment vertical="center"/>
    </xf>
    <xf numFmtId="44" fontId="0" fillId="0" borderId="15" xfId="0" applyNumberFormat="1" applyBorder="1" applyAlignment="1">
      <alignment vertical="center"/>
    </xf>
    <xf numFmtId="164" fontId="0" fillId="0" borderId="0" xfId="0" applyNumberFormat="1" applyAlignment="1">
      <alignment vertical="center"/>
    </xf>
    <xf numFmtId="44" fontId="0" fillId="0" borderId="0" xfId="0" applyNumberFormat="1" applyAlignment="1">
      <alignment vertical="center"/>
    </xf>
    <xf numFmtId="0" fontId="0" fillId="0" borderId="1" xfId="0" applyBorder="1" applyAlignment="1">
      <alignment vertical="center"/>
    </xf>
    <xf numFmtId="0" fontId="0" fillId="0" borderId="15" xfId="0" applyBorder="1" applyAlignment="1">
      <alignment vertical="center"/>
    </xf>
    <xf numFmtId="0" fontId="0" fillId="0" borderId="6" xfId="0" applyBorder="1" applyAlignment="1">
      <alignment horizontal="left" vertical="center"/>
    </xf>
    <xf numFmtId="0" fontId="18" fillId="0" borderId="2" xfId="0" applyFont="1" applyBorder="1" applyAlignment="1">
      <alignment vertical="center"/>
    </xf>
    <xf numFmtId="0" fontId="0" fillId="0" borderId="1" xfId="0" applyBorder="1" applyAlignment="1">
      <alignment horizontal="left" vertical="center"/>
    </xf>
    <xf numFmtId="44" fontId="0" fillId="0" borderId="1" xfId="0" applyNumberFormat="1" applyBorder="1" applyAlignment="1">
      <alignment vertical="center"/>
    </xf>
    <xf numFmtId="0" fontId="21" fillId="0" borderId="13" xfId="0" applyFont="1" applyBorder="1" applyAlignment="1">
      <alignment vertical="center"/>
    </xf>
    <xf numFmtId="0" fontId="21" fillId="0" borderId="13" xfId="0" applyFont="1" applyBorder="1" applyAlignment="1">
      <alignment horizontal="right" vertical="center"/>
    </xf>
    <xf numFmtId="0" fontId="21" fillId="0" borderId="14" xfId="0" applyFont="1" applyBorder="1" applyAlignment="1">
      <alignment horizontal="right" vertical="center"/>
    </xf>
    <xf numFmtId="0" fontId="23" fillId="7" borderId="12" xfId="0" applyFont="1" applyFill="1" applyBorder="1" applyAlignment="1">
      <alignment vertical="center"/>
    </xf>
    <xf numFmtId="166" fontId="0" fillId="8" borderId="0" xfId="1" applyNumberFormat="1" applyFont="1" applyFill="1" applyBorder="1" applyAlignment="1" applyProtection="1">
      <alignment vertical="center"/>
      <protection locked="0"/>
    </xf>
    <xf numFmtId="170" fontId="0" fillId="8" borderId="1" xfId="1" applyNumberFormat="1" applyFont="1" applyFill="1" applyBorder="1" applyAlignment="1" applyProtection="1">
      <alignment vertical="center"/>
      <protection locked="0"/>
    </xf>
    <xf numFmtId="167" fontId="0" fillId="8" borderId="6" xfId="0" applyNumberFormat="1" applyFill="1" applyBorder="1" applyAlignment="1" applyProtection="1">
      <alignment vertical="center"/>
      <protection locked="0"/>
    </xf>
    <xf numFmtId="167" fontId="0" fillId="8" borderId="0" xfId="0" applyNumberFormat="1" applyFill="1" applyAlignment="1" applyProtection="1">
      <alignment vertical="center"/>
      <protection locked="0"/>
    </xf>
    <xf numFmtId="167" fontId="0" fillId="8" borderId="1" xfId="0" applyNumberFormat="1" applyFill="1" applyBorder="1" applyAlignment="1" applyProtection="1">
      <alignment vertical="center"/>
      <protection locked="0"/>
    </xf>
    <xf numFmtId="44" fontId="0" fillId="8" borderId="0" xfId="1" applyFont="1" applyFill="1" applyBorder="1" applyAlignment="1" applyProtection="1">
      <alignment vertical="center"/>
      <protection locked="0"/>
    </xf>
    <xf numFmtId="175" fontId="0" fillId="0" borderId="0" xfId="0" applyNumberFormat="1"/>
    <xf numFmtId="176" fontId="0" fillId="8" borderId="0" xfId="1" applyNumberFormat="1" applyFont="1" applyFill="1" applyBorder="1"/>
    <xf numFmtId="175" fontId="0" fillId="0" borderId="2" xfId="0" applyNumberFormat="1" applyBorder="1"/>
    <xf numFmtId="175" fontId="0" fillId="8" borderId="2" xfId="0" applyNumberFormat="1" applyFill="1" applyBorder="1"/>
    <xf numFmtId="176" fontId="0" fillId="8" borderId="1" xfId="1" applyNumberFormat="1" applyFont="1" applyFill="1" applyBorder="1"/>
    <xf numFmtId="175" fontId="0" fillId="8" borderId="3" xfId="0" applyNumberFormat="1" applyFill="1" applyBorder="1"/>
    <xf numFmtId="0" fontId="0" fillId="0" borderId="10" xfId="0" applyBorder="1"/>
    <xf numFmtId="0" fontId="0" fillId="8" borderId="10" xfId="0" applyFill="1" applyBorder="1"/>
    <xf numFmtId="0" fontId="0" fillId="8" borderId="11" xfId="0" applyFill="1" applyBorder="1"/>
    <xf numFmtId="174" fontId="0" fillId="8" borderId="10" xfId="0" applyNumberFormat="1" applyFill="1" applyBorder="1" applyProtection="1">
      <protection locked="0"/>
    </xf>
    <xf numFmtId="174" fontId="0" fillId="8" borderId="11" xfId="0" applyNumberFormat="1" applyFill="1" applyBorder="1" applyProtection="1">
      <protection locked="0"/>
    </xf>
    <xf numFmtId="172" fontId="0" fillId="0" borderId="10" xfId="0" applyNumberFormat="1" applyBorder="1"/>
    <xf numFmtId="172" fontId="0" fillId="0" borderId="11" xfId="0" applyNumberFormat="1" applyBorder="1"/>
    <xf numFmtId="0" fontId="0" fillId="7" borderId="15" xfId="0" applyFill="1" applyBorder="1"/>
    <xf numFmtId="0" fontId="0" fillId="7" borderId="13" xfId="0" applyFill="1" applyBorder="1"/>
    <xf numFmtId="175" fontId="0" fillId="7" borderId="14" xfId="0" applyNumberFormat="1" applyFill="1" applyBorder="1"/>
    <xf numFmtId="169" fontId="0" fillId="8" borderId="0" xfId="0" applyNumberFormat="1" applyFill="1" applyAlignment="1" applyProtection="1">
      <alignment vertical="center"/>
      <protection locked="0"/>
    </xf>
    <xf numFmtId="0" fontId="24" fillId="0" borderId="4" xfId="0" applyFont="1" applyBorder="1" applyAlignment="1">
      <alignment vertical="center"/>
    </xf>
    <xf numFmtId="177" fontId="0" fillId="0" borderId="0" xfId="1" applyNumberFormat="1" applyFont="1" applyBorder="1" applyAlignment="1">
      <alignment vertical="center"/>
    </xf>
    <xf numFmtId="177" fontId="0" fillId="0" borderId="1" xfId="1" applyNumberFormat="1" applyFont="1" applyBorder="1" applyAlignment="1">
      <alignment vertical="center"/>
    </xf>
    <xf numFmtId="166" fontId="0" fillId="8" borderId="20" xfId="1" applyNumberFormat="1" applyFont="1" applyFill="1" applyBorder="1" applyAlignment="1" applyProtection="1">
      <alignment vertical="center"/>
      <protection locked="0"/>
    </xf>
    <xf numFmtId="166" fontId="0" fillId="8" borderId="21" xfId="1" applyNumberFormat="1" applyFont="1" applyFill="1" applyBorder="1" applyAlignment="1" applyProtection="1">
      <alignment vertical="center"/>
      <protection locked="0"/>
    </xf>
    <xf numFmtId="166" fontId="0" fillId="0" borderId="21" xfId="1" applyNumberFormat="1" applyFont="1" applyBorder="1" applyAlignment="1">
      <alignment vertical="center"/>
    </xf>
    <xf numFmtId="166" fontId="0" fillId="8" borderId="23" xfId="1" applyNumberFormat="1" applyFont="1" applyFill="1" applyBorder="1" applyAlignment="1" applyProtection="1">
      <alignment vertical="center"/>
      <protection locked="0"/>
    </xf>
    <xf numFmtId="0" fontId="0" fillId="0" borderId="1" xfId="0" applyBorder="1" applyAlignment="1">
      <alignment horizontal="right" vertical="center"/>
    </xf>
    <xf numFmtId="0" fontId="6" fillId="0" borderId="12" xfId="0" applyFont="1" applyBorder="1" applyAlignment="1">
      <alignment horizontal="center" vertical="center"/>
    </xf>
    <xf numFmtId="166" fontId="0" fillId="5" borderId="2" xfId="0" applyNumberFormat="1" applyFill="1" applyBorder="1" applyAlignment="1" applyProtection="1">
      <alignment vertical="center"/>
      <protection locked="0"/>
    </xf>
    <xf numFmtId="178" fontId="0" fillId="8" borderId="0" xfId="0" applyNumberFormat="1" applyFill="1" applyAlignment="1" applyProtection="1">
      <alignment vertical="center"/>
      <protection locked="0"/>
    </xf>
    <xf numFmtId="0" fontId="0" fillId="0" borderId="24" xfId="0" applyBorder="1" applyAlignment="1">
      <alignment vertical="center"/>
    </xf>
    <xf numFmtId="0" fontId="0" fillId="0" borderId="25" xfId="0" applyBorder="1" applyAlignment="1">
      <alignment vertical="center"/>
    </xf>
    <xf numFmtId="179" fontId="0" fillId="0" borderId="14" xfId="0" applyNumberForma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166" fontId="0" fillId="0" borderId="21" xfId="1" applyNumberFormat="1" applyFont="1" applyFill="1" applyBorder="1" applyAlignment="1">
      <alignment vertical="center"/>
    </xf>
    <xf numFmtId="44" fontId="0" fillId="8" borderId="6" xfId="1" applyFont="1" applyFill="1" applyBorder="1" applyAlignment="1" applyProtection="1">
      <alignment vertical="center"/>
      <protection locked="0"/>
    </xf>
    <xf numFmtId="0" fontId="6" fillId="0" borderId="4" xfId="0" applyFont="1" applyBorder="1" applyAlignment="1">
      <alignment vertical="center"/>
    </xf>
    <xf numFmtId="0" fontId="0" fillId="0" borderId="0" xfId="0" applyAlignment="1">
      <alignment horizontal="left" vertical="center"/>
    </xf>
    <xf numFmtId="173" fontId="0" fillId="8" borderId="0" xfId="0" applyNumberFormat="1" applyFill="1" applyAlignment="1" applyProtection="1">
      <alignment vertical="center"/>
      <protection locked="0"/>
    </xf>
    <xf numFmtId="44" fontId="0" fillId="7" borderId="3" xfId="1" applyFont="1" applyFill="1" applyBorder="1" applyAlignment="1">
      <alignment vertical="center"/>
    </xf>
    <xf numFmtId="0" fontId="21" fillId="0" borderId="6" xfId="0" applyFont="1" applyBorder="1" applyAlignment="1">
      <alignment vertical="center"/>
    </xf>
    <xf numFmtId="0" fontId="21" fillId="0" borderId="0" xfId="0" applyFont="1" applyAlignment="1">
      <alignment vertical="center"/>
    </xf>
    <xf numFmtId="9" fontId="21" fillId="0" borderId="0" xfId="0" applyNumberFormat="1" applyFont="1" applyAlignment="1">
      <alignment vertical="center"/>
    </xf>
    <xf numFmtId="0" fontId="22" fillId="0" borderId="0" xfId="0" applyFont="1" applyAlignment="1">
      <alignment vertical="center"/>
    </xf>
    <xf numFmtId="0" fontId="21" fillId="0" borderId="1" xfId="0" applyFont="1" applyBorder="1" applyAlignment="1">
      <alignment vertical="center"/>
    </xf>
    <xf numFmtId="168" fontId="0" fillId="0" borderId="0" xfId="0" applyNumberFormat="1" applyAlignment="1">
      <alignment vertical="center"/>
    </xf>
    <xf numFmtId="165" fontId="0" fillId="0" borderId="0" xfId="0" applyNumberFormat="1" applyAlignment="1">
      <alignment vertical="center"/>
    </xf>
    <xf numFmtId="170" fontId="0" fillId="0" borderId="1" xfId="1" applyNumberFormat="1" applyFont="1" applyFill="1" applyBorder="1" applyAlignment="1" applyProtection="1">
      <alignment vertical="center"/>
    </xf>
    <xf numFmtId="171" fontId="0" fillId="0" borderId="14" xfId="0" applyNumberFormat="1" applyBorder="1" applyAlignment="1">
      <alignment vertical="center"/>
    </xf>
    <xf numFmtId="172" fontId="0" fillId="0" borderId="14" xfId="1" applyNumberFormat="1" applyFont="1" applyFill="1" applyBorder="1" applyAlignment="1" applyProtection="1">
      <alignment vertical="center"/>
    </xf>
    <xf numFmtId="167" fontId="24" fillId="5" borderId="4" xfId="0" applyNumberFormat="1" applyFont="1" applyFill="1" applyBorder="1" applyAlignment="1">
      <alignment vertical="center"/>
    </xf>
    <xf numFmtId="167" fontId="24" fillId="5" borderId="2" xfId="0" applyNumberFormat="1" applyFont="1" applyFill="1" applyBorder="1" applyAlignment="1">
      <alignment vertical="center"/>
    </xf>
    <xf numFmtId="167" fontId="24" fillId="5" borderId="3" xfId="0" applyNumberFormat="1" applyFont="1" applyFill="1" applyBorder="1" applyAlignment="1">
      <alignment vertical="center"/>
    </xf>
    <xf numFmtId="174" fontId="0" fillId="0" borderId="10" xfId="0" applyNumberFormat="1" applyBorder="1"/>
    <xf numFmtId="0" fontId="0" fillId="0" borderId="6" xfId="0" applyBorder="1" applyAlignment="1" applyProtection="1">
      <alignment vertical="center"/>
      <protection locked="0"/>
    </xf>
    <xf numFmtId="177" fontId="0" fillId="8" borderId="1" xfId="1" applyNumberFormat="1" applyFont="1" applyFill="1" applyBorder="1" applyAlignment="1" applyProtection="1">
      <alignment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5" fillId="9" borderId="15" xfId="0" applyFont="1" applyFill="1" applyBorder="1" applyAlignment="1">
      <alignment horizontal="left" vertical="center" wrapText="1"/>
    </xf>
    <xf numFmtId="0" fontId="16" fillId="7" borderId="15" xfId="0" applyFont="1" applyFill="1" applyBorder="1" applyAlignment="1">
      <alignment horizontal="center" vertical="center" wrapText="1"/>
    </xf>
    <xf numFmtId="0" fontId="6" fillId="7" borderId="12"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0" fillId="3" borderId="0" xfId="0" applyFill="1" applyAlignment="1">
      <alignment horizontal="left"/>
    </xf>
    <xf numFmtId="0" fontId="0" fillId="2" borderId="0" xfId="0" applyFill="1" applyAlignment="1">
      <alignment horizontal="center"/>
    </xf>
    <xf numFmtId="0" fontId="0" fillId="0" borderId="0" xfId="0" applyAlignment="1">
      <alignment horizontal="left"/>
    </xf>
  </cellXfs>
  <cellStyles count="2">
    <cellStyle name="Standard" xfId="0" builtinId="0"/>
    <cellStyle name="Währung" xfId="1" builtinId="4"/>
  </cellStyles>
  <dxfs count="0"/>
  <tableStyles count="0" defaultTableStyle="TableStyleMedium2" defaultPivotStyle="PivotStyleLight16"/>
  <colors>
    <mruColors>
      <color rgb="FFD6C7F5"/>
      <color rgb="FFE7EF99"/>
      <color rgb="FF698A48"/>
      <color rgb="FFB8C91F"/>
      <color rgb="FFBAA0EE"/>
      <color rgb="FF501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624951</xdr:colOff>
      <xdr:row>1</xdr:row>
      <xdr:rowOff>85726</xdr:rowOff>
    </xdr:from>
    <xdr:to>
      <xdr:col>3</xdr:col>
      <xdr:colOff>865938</xdr:colOff>
      <xdr:row>1</xdr:row>
      <xdr:rowOff>933450</xdr:rowOff>
    </xdr:to>
    <xdr:pic>
      <xdr:nvPicPr>
        <xdr:cNvPr id="7" name="Grafik 6">
          <a:extLst>
            <a:ext uri="{FF2B5EF4-FFF2-40B4-BE49-F238E27FC236}">
              <a16:creationId xmlns:a16="http://schemas.microsoft.com/office/drawing/2014/main" id="{F2297A1C-E316-479D-AF0A-0F5FFCA4EB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68594" y="276226"/>
          <a:ext cx="5580590" cy="847724"/>
        </a:xfrm>
        <a:prstGeom prst="rect">
          <a:avLst/>
        </a:prstGeom>
      </xdr:spPr>
    </xdr:pic>
    <xdr:clientData/>
  </xdr:twoCellAnchor>
  <xdr:twoCellAnchor editAs="oneCell">
    <xdr:from>
      <xdr:col>7</xdr:col>
      <xdr:colOff>100551</xdr:colOff>
      <xdr:row>1</xdr:row>
      <xdr:rowOff>85725</xdr:rowOff>
    </xdr:from>
    <xdr:to>
      <xdr:col>8</xdr:col>
      <xdr:colOff>265766</xdr:colOff>
      <xdr:row>2</xdr:row>
      <xdr:rowOff>86403</xdr:rowOff>
    </xdr:to>
    <xdr:pic>
      <xdr:nvPicPr>
        <xdr:cNvPr id="9" name="Grafik 8">
          <a:extLst>
            <a:ext uri="{FF2B5EF4-FFF2-40B4-BE49-F238E27FC236}">
              <a16:creationId xmlns:a16="http://schemas.microsoft.com/office/drawing/2014/main" id="{DE8A2F52-0364-4E89-987C-F5D8747A2F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250" r="3250"/>
        <a:stretch/>
      </xdr:blipFill>
      <xdr:spPr>
        <a:xfrm>
          <a:off x="11081515" y="276225"/>
          <a:ext cx="1967802" cy="1002845"/>
        </a:xfrm>
        <a:prstGeom prst="rect">
          <a:avLst/>
        </a:prstGeom>
      </xdr:spPr>
    </xdr:pic>
    <xdr:clientData/>
  </xdr:twoCellAnchor>
  <xdr:twoCellAnchor editAs="oneCell">
    <xdr:from>
      <xdr:col>4</xdr:col>
      <xdr:colOff>1228724</xdr:colOff>
      <xdr:row>1</xdr:row>
      <xdr:rowOff>0</xdr:rowOff>
    </xdr:from>
    <xdr:to>
      <xdr:col>6</xdr:col>
      <xdr:colOff>455638</xdr:colOff>
      <xdr:row>3</xdr:row>
      <xdr:rowOff>106308</xdr:rowOff>
    </xdr:to>
    <xdr:pic>
      <xdr:nvPicPr>
        <xdr:cNvPr id="10" name="Grafik 9">
          <a:extLst>
            <a:ext uri="{FF2B5EF4-FFF2-40B4-BE49-F238E27FC236}">
              <a16:creationId xmlns:a16="http://schemas.microsoft.com/office/drawing/2014/main" id="{2B6C4F54-F25A-4C7A-8CC8-8B69DA527234}"/>
            </a:ext>
          </a:extLst>
        </xdr:cNvPr>
        <xdr:cNvPicPr>
          <a:picLocks noChangeAspect="1"/>
        </xdr:cNvPicPr>
      </xdr:nvPicPr>
      <xdr:blipFill>
        <a:blip xmlns:r="http://schemas.openxmlformats.org/officeDocument/2006/relationships" r:embed="rId3"/>
        <a:stretch>
          <a:fillRect/>
        </a:stretch>
      </xdr:blipFill>
      <xdr:spPr>
        <a:xfrm>
          <a:off x="8810624" y="190500"/>
          <a:ext cx="2122114" cy="12826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690BA-9B1F-41CC-A2C7-06E0B2034386}">
  <dimension ref="A1:M69"/>
  <sheetViews>
    <sheetView showGridLines="0" tabSelected="1" zoomScale="80" zoomScaleNormal="80" workbookViewId="0">
      <selection activeCell="E17" sqref="E17"/>
    </sheetView>
  </sheetViews>
  <sheetFormatPr baseColWidth="10" defaultColWidth="11" defaultRowHeight="14.25"/>
  <cols>
    <col min="2" max="2" width="45.625" customWidth="1"/>
    <col min="3" max="3" width="24.25" customWidth="1"/>
    <col min="4" max="4" width="19.375" customWidth="1"/>
    <col min="5" max="5" width="22.875" customWidth="1"/>
    <col min="6" max="6" width="15.25" customWidth="1"/>
    <col min="7" max="8" width="23.625" customWidth="1"/>
    <col min="9" max="9" width="33" customWidth="1"/>
    <col min="10" max="10" width="30.375" bestFit="1" customWidth="1"/>
    <col min="11" max="11" width="15.75" bestFit="1" customWidth="1"/>
    <col min="12" max="12" width="17.75" hidden="1" customWidth="1"/>
  </cols>
  <sheetData>
    <row r="1" spans="1:13" s="37" customFormat="1" ht="15">
      <c r="A1" s="35"/>
      <c r="B1" s="35"/>
      <c r="C1" s="35"/>
      <c r="D1" s="35"/>
      <c r="E1" s="35"/>
      <c r="F1" s="35"/>
      <c r="G1" s="35"/>
      <c r="H1" s="35"/>
      <c r="I1" s="36"/>
    </row>
    <row r="2" spans="1:13" s="37" customFormat="1" ht="78.75" customHeight="1">
      <c r="A2" s="35"/>
      <c r="B2" s="35"/>
      <c r="C2" s="35"/>
      <c r="D2" s="35"/>
      <c r="E2" s="35"/>
      <c r="F2" s="35"/>
      <c r="G2" s="35"/>
      <c r="H2" s="35"/>
      <c r="I2" s="36"/>
    </row>
    <row r="3" spans="1:13" s="37" customFormat="1" ht="15">
      <c r="A3" s="35"/>
      <c r="B3" s="35"/>
      <c r="C3" s="35"/>
      <c r="D3" s="35"/>
      <c r="E3" s="35"/>
      <c r="F3" s="35"/>
      <c r="G3" s="35"/>
      <c r="H3" s="35"/>
      <c r="I3" s="36"/>
    </row>
    <row r="4" spans="1:13" s="37" customFormat="1" ht="15">
      <c r="A4" s="35"/>
      <c r="B4" s="35"/>
      <c r="C4" s="35"/>
      <c r="D4" s="35"/>
      <c r="E4" s="35"/>
      <c r="F4" s="35"/>
      <c r="G4" s="35"/>
      <c r="H4" s="35"/>
      <c r="I4" s="36"/>
    </row>
    <row r="5" spans="1:13" s="37" customFormat="1" ht="30">
      <c r="A5" s="35"/>
      <c r="B5" s="38" t="s">
        <v>0</v>
      </c>
      <c r="C5" s="39"/>
      <c r="D5" s="39"/>
      <c r="E5" s="40"/>
      <c r="F5" s="41"/>
      <c r="G5" s="42"/>
      <c r="H5" s="42"/>
      <c r="I5" s="36"/>
    </row>
    <row r="6" spans="1:13" s="37" customFormat="1" ht="30.75" customHeight="1">
      <c r="A6" s="35"/>
      <c r="B6" s="43" t="s">
        <v>1</v>
      </c>
      <c r="C6" s="44"/>
      <c r="D6" s="44"/>
      <c r="E6" s="40"/>
      <c r="F6" s="41"/>
      <c r="G6" s="42"/>
      <c r="H6" s="42"/>
      <c r="I6" s="36"/>
    </row>
    <row r="7" spans="1:13" s="37" customFormat="1" ht="18.75" customHeight="1">
      <c r="A7" s="35"/>
      <c r="B7" s="43"/>
      <c r="C7" s="44"/>
      <c r="D7" s="44"/>
      <c r="E7" s="40"/>
      <c r="F7" s="41"/>
      <c r="G7" s="42"/>
      <c r="H7" s="42"/>
      <c r="I7" s="36"/>
    </row>
    <row r="8" spans="1:13" s="37" customFormat="1" ht="30.75" customHeight="1">
      <c r="A8" s="35"/>
      <c r="B8" s="150" t="s">
        <v>2</v>
      </c>
      <c r="C8" s="150"/>
      <c r="D8" s="150"/>
      <c r="E8" s="150"/>
      <c r="F8" s="150"/>
      <c r="G8" s="150"/>
      <c r="H8" s="150"/>
      <c r="I8" s="150"/>
      <c r="J8" s="150"/>
      <c r="K8" s="150"/>
    </row>
    <row r="9" spans="1:13" s="37" customFormat="1" ht="30.75" customHeight="1">
      <c r="A9" s="35"/>
      <c r="B9" s="150"/>
      <c r="C9" s="150"/>
      <c r="D9" s="150"/>
      <c r="E9" s="150"/>
      <c r="F9" s="150"/>
      <c r="G9" s="150"/>
      <c r="H9" s="150"/>
      <c r="I9" s="150"/>
      <c r="J9" s="150"/>
      <c r="K9" s="150"/>
      <c r="M9" s="45"/>
    </row>
    <row r="10" spans="1:13" s="37" customFormat="1" ht="30.75" customHeight="1">
      <c r="A10" s="35"/>
      <c r="B10" s="150"/>
      <c r="C10" s="150"/>
      <c r="D10" s="150"/>
      <c r="E10" s="150"/>
      <c r="F10" s="150"/>
      <c r="G10" s="150"/>
      <c r="H10" s="150"/>
      <c r="I10" s="150"/>
      <c r="J10" s="150"/>
      <c r="K10" s="150"/>
    </row>
    <row r="11" spans="1:13" s="37" customFormat="1" ht="30.75" customHeight="1">
      <c r="A11" s="35"/>
      <c r="B11" s="151" t="s">
        <v>3</v>
      </c>
      <c r="C11" s="151"/>
      <c r="D11" s="151"/>
      <c r="E11" s="151"/>
      <c r="F11" s="151"/>
      <c r="G11" s="151"/>
      <c r="H11" s="151"/>
      <c r="I11" s="151"/>
      <c r="J11" s="151"/>
      <c r="K11" s="151"/>
    </row>
    <row r="13" spans="1:13" ht="19.5" customHeight="1"/>
    <row r="14" spans="1:13" s="46" customFormat="1" ht="20.25" customHeight="1">
      <c r="B14" s="152" t="s">
        <v>4</v>
      </c>
      <c r="C14" s="153"/>
      <c r="D14" s="153"/>
      <c r="E14" s="153"/>
      <c r="F14" s="154"/>
      <c r="I14" s="152" t="s">
        <v>5</v>
      </c>
      <c r="J14" s="153"/>
      <c r="K14" s="153"/>
      <c r="L14" s="154"/>
    </row>
    <row r="15" spans="1:13" s="46" customFormat="1" ht="20.25" customHeight="1"/>
    <row r="16" spans="1:13" s="46" customFormat="1" ht="20.25" customHeight="1"/>
    <row r="17" spans="2:13" s="46" customFormat="1" ht="20.25" customHeight="1">
      <c r="B17" s="155" t="s">
        <v>6</v>
      </c>
      <c r="C17" s="131" t="s">
        <v>7</v>
      </c>
      <c r="D17" s="34"/>
      <c r="E17" s="145" t="s">
        <v>8</v>
      </c>
      <c r="F17" s="48"/>
      <c r="I17" s="147" t="s">
        <v>9</v>
      </c>
      <c r="J17" s="120" t="s">
        <v>10</v>
      </c>
      <c r="K17" s="112">
        <v>650</v>
      </c>
      <c r="L17" s="49">
        <v>0</v>
      </c>
      <c r="M17" s="50"/>
    </row>
    <row r="18" spans="2:13" s="46" customFormat="1" ht="20.25" customHeight="1">
      <c r="B18" s="157"/>
      <c r="C18" s="132" t="s">
        <v>11</v>
      </c>
      <c r="E18" s="119">
        <v>5000</v>
      </c>
      <c r="F18" s="52"/>
      <c r="I18" s="148"/>
      <c r="J18" s="46" t="s">
        <v>12</v>
      </c>
      <c r="K18" s="113">
        <v>600</v>
      </c>
      <c r="L18" s="118"/>
      <c r="M18" s="50"/>
    </row>
    <row r="19" spans="2:13" s="46" customFormat="1" ht="20.25" customHeight="1">
      <c r="B19" s="157"/>
      <c r="C19" s="132" t="s">
        <v>13</v>
      </c>
      <c r="E19" s="136">
        <f>E18/10000</f>
        <v>0.5</v>
      </c>
      <c r="F19" s="52"/>
      <c r="I19" s="148"/>
      <c r="J19" s="46" t="s">
        <v>14</v>
      </c>
      <c r="K19" s="114">
        <f>'Berechnung mit Trocknungsanlage'!C9</f>
        <v>299.25</v>
      </c>
      <c r="L19" s="53">
        <v>0</v>
      </c>
      <c r="M19" s="50"/>
    </row>
    <row r="20" spans="2:13" s="46" customFormat="1" ht="20.25" customHeight="1">
      <c r="B20" s="157"/>
      <c r="C20" s="133" t="s">
        <v>15</v>
      </c>
      <c r="E20" s="108">
        <v>0.2</v>
      </c>
      <c r="F20" s="52"/>
      <c r="G20" s="54"/>
      <c r="I20" s="148"/>
      <c r="J20" s="46" t="s">
        <v>16</v>
      </c>
      <c r="K20" s="114">
        <f>'Berechnung mit Trocknungsanlage'!C10</f>
        <v>78.400000000000006</v>
      </c>
      <c r="L20" s="55">
        <f>K19</f>
        <v>299.25</v>
      </c>
    </row>
    <row r="21" spans="2:13" s="46" customFormat="1" ht="20.25" customHeight="1">
      <c r="B21" s="157"/>
      <c r="C21" s="132" t="s">
        <v>132</v>
      </c>
      <c r="E21" s="137">
        <f>(VLOOKUP(E17,Saatgutkosten!B13:F24,5,FALSE))*E19</f>
        <v>1600</v>
      </c>
      <c r="F21" s="52"/>
      <c r="I21" s="148"/>
      <c r="J21" s="46" t="s">
        <v>17</v>
      </c>
      <c r="K21" s="114">
        <f>'Berechnung mit Trocknungsanlage'!C11</f>
        <v>189.75</v>
      </c>
      <c r="L21" s="55"/>
    </row>
    <row r="22" spans="2:13" s="46" customFormat="1" ht="20.25" customHeight="1">
      <c r="B22" s="157"/>
      <c r="C22" s="132" t="s">
        <v>133</v>
      </c>
      <c r="E22" s="137">
        <f>E21*(1-E20)</f>
        <v>1280</v>
      </c>
      <c r="F22" s="52"/>
      <c r="I22" s="148"/>
      <c r="J22" s="46" t="s">
        <v>18</v>
      </c>
      <c r="K22" s="114">
        <f>'Berechnung mit Trocknungsanlage'!C12</f>
        <v>53.5</v>
      </c>
      <c r="L22" s="55"/>
    </row>
    <row r="23" spans="2:13" s="46" customFormat="1" ht="20.25" customHeight="1">
      <c r="B23" s="157"/>
      <c r="C23" s="134" t="s">
        <v>19</v>
      </c>
      <c r="E23" s="86">
        <v>650</v>
      </c>
      <c r="F23" s="52"/>
      <c r="I23" s="148"/>
      <c r="J23" s="46" t="s">
        <v>20</v>
      </c>
      <c r="K23" s="114">
        <f>'Berechnung mit Trocknungsanlage'!C13</f>
        <v>148.35</v>
      </c>
      <c r="L23" s="55">
        <f>K22</f>
        <v>53.5</v>
      </c>
    </row>
    <row r="24" spans="2:13" s="46" customFormat="1" ht="20.25" customHeight="1">
      <c r="B24" s="156"/>
      <c r="C24" s="135" t="s">
        <v>21</v>
      </c>
      <c r="D24" s="57"/>
      <c r="E24" s="87">
        <v>3.5</v>
      </c>
      <c r="F24" s="58"/>
      <c r="I24" s="148"/>
      <c r="J24" s="46" t="s">
        <v>22</v>
      </c>
      <c r="K24" s="114">
        <f>'Berechnung mit Trocknungsanlage'!C14</f>
        <v>484.79999999999995</v>
      </c>
      <c r="L24" s="55">
        <f>K23</f>
        <v>148.35</v>
      </c>
    </row>
    <row r="25" spans="2:13" s="46" customFormat="1" ht="20.25" customHeight="1">
      <c r="D25" s="59"/>
      <c r="I25" s="148"/>
      <c r="J25" s="46" t="s">
        <v>23</v>
      </c>
      <c r="K25" s="114">
        <f>'Berechnung mit Trocknungsanlage'!C15</f>
        <v>120.4</v>
      </c>
      <c r="L25" s="55">
        <f>K24</f>
        <v>484.79999999999995</v>
      </c>
    </row>
    <row r="26" spans="2:13" s="46" customFormat="1" ht="20.25" customHeight="1">
      <c r="I26" s="148"/>
      <c r="J26" s="46" t="s">
        <v>24</v>
      </c>
      <c r="K26" s="125">
        <f>(E56*E57)*E19</f>
        <v>72.5</v>
      </c>
      <c r="L26" s="55">
        <f>K25</f>
        <v>120.4</v>
      </c>
    </row>
    <row r="27" spans="2:13" s="46" customFormat="1" ht="20.25" customHeight="1">
      <c r="B27" s="155" t="s">
        <v>25</v>
      </c>
      <c r="C27" s="82" t="s">
        <v>7</v>
      </c>
      <c r="D27" s="83" t="s">
        <v>26</v>
      </c>
      <c r="E27" s="83" t="s">
        <v>27</v>
      </c>
      <c r="F27" s="84" t="s">
        <v>28</v>
      </c>
      <c r="I27" s="148"/>
      <c r="J27" s="121" t="s">
        <v>29</v>
      </c>
      <c r="K27" s="115">
        <v>0</v>
      </c>
      <c r="L27" s="62">
        <v>0</v>
      </c>
    </row>
    <row r="28" spans="2:13" s="46" customFormat="1" ht="20.25" customHeight="1">
      <c r="B28" s="156"/>
      <c r="C28" s="60" t="str">
        <f>E17</f>
        <v>Soja</v>
      </c>
      <c r="D28" s="138">
        <f>VLOOKUP(E17,Saatgutkosten!$B$13:$C$24,2,FALSE)</f>
        <v>2</v>
      </c>
      <c r="E28" s="139">
        <f>VLOOKUP(E17,Saatgutkosten!B13:F24,3,FALSE)</f>
        <v>150</v>
      </c>
      <c r="F28" s="140">
        <f>D28*E28</f>
        <v>300</v>
      </c>
      <c r="I28" s="148"/>
      <c r="J28" s="116" t="s">
        <v>30</v>
      </c>
      <c r="K28" s="67">
        <f>SUM(K17:K27)</f>
        <v>2696.9500000000003</v>
      </c>
      <c r="L28" s="64">
        <f>SUM(L17:L27)</f>
        <v>1106.3</v>
      </c>
    </row>
    <row r="29" spans="2:13" s="46" customFormat="1" ht="20.25" customHeight="1">
      <c r="I29" s="148"/>
      <c r="J29" s="76" t="s">
        <v>31</v>
      </c>
      <c r="K29" s="65">
        <f>F28*E19</f>
        <v>150</v>
      </c>
      <c r="L29" s="65">
        <f>F28*E19</f>
        <v>150</v>
      </c>
    </row>
    <row r="30" spans="2:13" s="46" customFormat="1" ht="20.25" customHeight="1">
      <c r="B30" s="147" t="s">
        <v>32</v>
      </c>
      <c r="C30" s="63" t="s">
        <v>33</v>
      </c>
      <c r="D30" s="60"/>
      <c r="E30" s="60" t="s">
        <v>34</v>
      </c>
      <c r="F30" s="66"/>
      <c r="I30" s="148"/>
      <c r="J30" s="46" t="s">
        <v>9</v>
      </c>
      <c r="K30" s="55">
        <f>SUM(K28:K29)</f>
        <v>2846.9500000000003</v>
      </c>
      <c r="L30" s="67">
        <f>SUM(L28:L29)</f>
        <v>1256.3</v>
      </c>
    </row>
    <row r="31" spans="2:13" s="46" customFormat="1" ht="20.25" customHeight="1">
      <c r="B31" s="148"/>
      <c r="C31" s="51" t="str">
        <f>Arbeitskosten!B18</f>
        <v>Traktor 100 PS</v>
      </c>
      <c r="E31" s="110">
        <f>Arbeitskosten!C18</f>
        <v>32</v>
      </c>
      <c r="F31" s="52"/>
      <c r="I31" s="149"/>
      <c r="J31" s="63" t="s">
        <v>35</v>
      </c>
      <c r="K31" s="122">
        <f>K30*E19</f>
        <v>1423.4750000000001</v>
      </c>
    </row>
    <row r="32" spans="2:13" s="46" customFormat="1" ht="20.25" customHeight="1">
      <c r="B32" s="148"/>
      <c r="C32" s="51" t="s">
        <v>36</v>
      </c>
      <c r="E32" s="110">
        <f>Arbeitskosten!C19</f>
        <v>16.5</v>
      </c>
      <c r="F32" s="52"/>
      <c r="L32" s="64">
        <f>K33</f>
        <v>400</v>
      </c>
    </row>
    <row r="33" spans="2:13" s="46" customFormat="1" ht="20.25" customHeight="1">
      <c r="B33" s="148"/>
      <c r="C33" s="51" t="s">
        <v>37</v>
      </c>
      <c r="E33" s="110">
        <f>Arbeitskosten!C20</f>
        <v>14.3</v>
      </c>
      <c r="F33" s="52"/>
      <c r="I33" s="117" t="s">
        <v>38</v>
      </c>
      <c r="J33" s="63" t="s">
        <v>39</v>
      </c>
      <c r="K33" s="68">
        <f>E63</f>
        <v>400</v>
      </c>
    </row>
    <row r="34" spans="2:13" s="46" customFormat="1" ht="20.25" customHeight="1">
      <c r="B34" s="148"/>
      <c r="C34" s="51" t="s">
        <v>40</v>
      </c>
      <c r="E34" s="110">
        <f>Arbeitskosten!C23</f>
        <v>25.4</v>
      </c>
      <c r="F34" s="52"/>
    </row>
    <row r="35" spans="2:13" s="46" customFormat="1" ht="20.25" customHeight="1">
      <c r="B35" s="148"/>
      <c r="C35" s="51" t="s">
        <v>41</v>
      </c>
      <c r="E35" s="110">
        <f>Arbeitskosten!C24</f>
        <v>13.9</v>
      </c>
      <c r="F35" s="52"/>
    </row>
    <row r="36" spans="2:13" s="46" customFormat="1" ht="20.25" customHeight="1">
      <c r="B36" s="148"/>
      <c r="C36" s="51" t="s">
        <v>42</v>
      </c>
      <c r="E36" s="110">
        <f>Arbeitskosten!C26</f>
        <v>5</v>
      </c>
      <c r="F36" s="52"/>
      <c r="I36" s="147" t="s">
        <v>5</v>
      </c>
      <c r="J36" s="47" t="s">
        <v>43</v>
      </c>
      <c r="K36" s="69">
        <f>E22*E24+(E23*E19)</f>
        <v>4805</v>
      </c>
      <c r="L36" s="61" t="s">
        <v>44</v>
      </c>
    </row>
    <row r="37" spans="2:13" s="46" customFormat="1" ht="20.25" customHeight="1">
      <c r="B37" s="148"/>
      <c r="C37" s="51" t="s">
        <v>45</v>
      </c>
      <c r="D37" s="70"/>
      <c r="E37" s="110">
        <f>Arbeitskosten!C27</f>
        <v>29.9</v>
      </c>
      <c r="F37" s="52"/>
      <c r="I37" s="148"/>
      <c r="J37" s="56" t="s">
        <v>9</v>
      </c>
      <c r="K37" s="71">
        <f>K31+(K33*E19)</f>
        <v>1623.4750000000001</v>
      </c>
      <c r="L37" s="72" t="e">
        <f>(L30+L32)/#REF!</f>
        <v>#REF!</v>
      </c>
    </row>
    <row r="38" spans="2:13" s="46" customFormat="1" ht="20.25" customHeight="1">
      <c r="B38" s="148"/>
      <c r="C38" s="51" t="s">
        <v>46</v>
      </c>
      <c r="E38" s="110">
        <f>Arbeitskosten!C28</f>
        <v>6.3</v>
      </c>
      <c r="F38" s="52"/>
      <c r="I38" s="149"/>
      <c r="J38" s="85" t="s">
        <v>30</v>
      </c>
      <c r="K38" s="130">
        <f>K36-K37</f>
        <v>3181.5249999999996</v>
      </c>
      <c r="L38" s="73" t="e">
        <f>(L30+L32-E24)/#REF!</f>
        <v>#REF!</v>
      </c>
      <c r="M38" s="74"/>
    </row>
    <row r="39" spans="2:13" s="46" customFormat="1" ht="20.25" customHeight="1">
      <c r="B39" s="148"/>
      <c r="C39" s="51" t="s">
        <v>47</v>
      </c>
      <c r="E39" s="110">
        <f>Arbeitskosten!C29</f>
        <v>8.4</v>
      </c>
      <c r="F39" s="52"/>
    </row>
    <row r="40" spans="2:13" s="46" customFormat="1" ht="20.25" customHeight="1">
      <c r="B40" s="148"/>
      <c r="C40" s="51" t="s">
        <v>22</v>
      </c>
      <c r="E40" s="110">
        <f>Arbeitskosten!C31</f>
        <v>246.7</v>
      </c>
      <c r="F40" s="52"/>
      <c r="I40" s="147" t="s">
        <v>48</v>
      </c>
      <c r="J40" s="63" t="s">
        <v>49</v>
      </c>
      <c r="K40" s="61" t="str">
        <f>E17</f>
        <v>Soja</v>
      </c>
      <c r="L40" s="75" t="e">
        <f>L37*(1+#REF!)</f>
        <v>#REF!</v>
      </c>
    </row>
    <row r="41" spans="2:13" s="46" customFormat="1" ht="20.25" customHeight="1">
      <c r="B41" s="148"/>
      <c r="C41" s="51" t="s">
        <v>50</v>
      </c>
      <c r="E41" s="110">
        <f>Arbeitskosten!C32</f>
        <v>90</v>
      </c>
      <c r="F41" s="52"/>
      <c r="I41" s="148"/>
      <c r="J41" s="63" t="s">
        <v>51</v>
      </c>
      <c r="K41" s="72">
        <f>(K31+(K33*E19))/E22</f>
        <v>1.2683398437500002</v>
      </c>
      <c r="L41" s="75" t="e">
        <f>L38*(1+#REF!)</f>
        <v>#REF!</v>
      </c>
    </row>
    <row r="42" spans="2:13" s="46" customFormat="1" ht="20.25" customHeight="1">
      <c r="B42" s="149"/>
      <c r="C42" s="56" t="s">
        <v>52</v>
      </c>
      <c r="D42" s="76"/>
      <c r="E42" s="111">
        <f>Arbeitskosten!C33</f>
        <v>11.7</v>
      </c>
      <c r="F42" s="58"/>
      <c r="G42" s="54"/>
      <c r="I42" s="149"/>
      <c r="J42" s="77" t="s">
        <v>53</v>
      </c>
      <c r="K42" s="72">
        <f>((K33*E19)+K31-(E23*E19))/E22</f>
        <v>1.0144335937500002</v>
      </c>
    </row>
    <row r="43" spans="2:13" s="46" customFormat="1" ht="20.25" customHeight="1"/>
    <row r="44" spans="2:13" s="46" customFormat="1" ht="20.25" customHeight="1">
      <c r="B44" s="147" t="s">
        <v>54</v>
      </c>
      <c r="C44" s="47"/>
      <c r="D44" s="34" t="s">
        <v>55</v>
      </c>
      <c r="E44" s="34" t="s">
        <v>56</v>
      </c>
      <c r="F44" s="109" t="s">
        <v>57</v>
      </c>
    </row>
    <row r="45" spans="2:13" s="46" customFormat="1" ht="20.25" customHeight="1">
      <c r="B45" s="148"/>
      <c r="C45" s="47" t="s">
        <v>58</v>
      </c>
      <c r="D45" s="34"/>
      <c r="E45" s="88">
        <v>3</v>
      </c>
      <c r="F45" s="141">
        <v>3</v>
      </c>
      <c r="G45" s="54"/>
    </row>
    <row r="46" spans="2:13" s="46" customFormat="1" ht="20.25" customHeight="1">
      <c r="B46" s="148"/>
      <c r="C46" s="51" t="s">
        <v>59</v>
      </c>
      <c r="E46" s="89">
        <v>1.5</v>
      </c>
      <c r="F46" s="142">
        <v>1.5</v>
      </c>
      <c r="K46" s="75"/>
      <c r="L46" s="75"/>
    </row>
    <row r="47" spans="2:13" s="46" customFormat="1" ht="20.25" customHeight="1">
      <c r="B47" s="148"/>
      <c r="C47" s="51" t="s">
        <v>60</v>
      </c>
      <c r="E47" s="89">
        <v>1.5</v>
      </c>
      <c r="F47" s="142">
        <v>1.5</v>
      </c>
      <c r="L47" s="75"/>
    </row>
    <row r="48" spans="2:13" s="46" customFormat="1" ht="20.25" customHeight="1">
      <c r="B48" s="148"/>
      <c r="C48" s="51" t="s">
        <v>61</v>
      </c>
      <c r="E48" s="89">
        <v>1.5</v>
      </c>
      <c r="F48" s="142">
        <v>1.5</v>
      </c>
    </row>
    <row r="49" spans="2:9" s="46" customFormat="1" ht="20.25" customHeight="1">
      <c r="B49" s="148"/>
      <c r="C49" s="51" t="s">
        <v>18</v>
      </c>
      <c r="E49" s="89">
        <v>1</v>
      </c>
      <c r="F49" s="142">
        <v>1</v>
      </c>
    </row>
    <row r="50" spans="2:9" s="46" customFormat="1" ht="20.25" customHeight="1">
      <c r="B50" s="148"/>
      <c r="C50" s="51" t="s">
        <v>16</v>
      </c>
      <c r="E50" s="89">
        <v>1</v>
      </c>
      <c r="F50" s="142">
        <v>1</v>
      </c>
    </row>
    <row r="51" spans="2:9" s="46" customFormat="1" ht="20.25" customHeight="1">
      <c r="B51" s="148"/>
      <c r="C51" s="51" t="s">
        <v>20</v>
      </c>
      <c r="E51" s="89">
        <v>1.5</v>
      </c>
      <c r="F51" s="142">
        <v>1.5</v>
      </c>
      <c r="I51" s="75"/>
    </row>
    <row r="52" spans="2:9" s="46" customFormat="1" ht="20.25" customHeight="1">
      <c r="B52" s="148"/>
      <c r="C52" s="51" t="s">
        <v>62</v>
      </c>
      <c r="E52" s="89">
        <v>1</v>
      </c>
      <c r="F52" s="142">
        <v>1</v>
      </c>
    </row>
    <row r="53" spans="2:9" s="46" customFormat="1" ht="20.25" customHeight="1">
      <c r="B53" s="148"/>
      <c r="C53" s="51" t="s">
        <v>63</v>
      </c>
      <c r="E53" s="89">
        <v>1.5</v>
      </c>
      <c r="F53" s="142">
        <v>1.5</v>
      </c>
    </row>
    <row r="54" spans="2:9" s="46" customFormat="1" ht="20.25" customHeight="1">
      <c r="B54" s="149"/>
      <c r="C54" s="56" t="s">
        <v>64</v>
      </c>
      <c r="D54" s="76"/>
      <c r="E54" s="90">
        <v>2</v>
      </c>
      <c r="F54" s="143">
        <v>2</v>
      </c>
    </row>
    <row r="55" spans="2:9" s="46" customFormat="1" ht="20.25" customHeight="1"/>
    <row r="56" spans="2:9" s="46" customFormat="1" ht="20.25" customHeight="1">
      <c r="B56" s="158" t="s">
        <v>24</v>
      </c>
      <c r="C56" s="47" t="s">
        <v>65</v>
      </c>
      <c r="D56" s="34"/>
      <c r="E56" s="88">
        <v>10</v>
      </c>
      <c r="F56" s="123">
        <f>SUM(F45:F54)</f>
        <v>15.5</v>
      </c>
    </row>
    <row r="57" spans="2:9" s="46" customFormat="1" ht="20.25" customHeight="1">
      <c r="B57" s="159"/>
      <c r="C57" s="56" t="s">
        <v>66</v>
      </c>
      <c r="D57" s="76"/>
      <c r="E57" s="146">
        <v>14.5</v>
      </c>
      <c r="F57" s="124"/>
    </row>
    <row r="58" spans="2:9" s="46" customFormat="1" ht="20.25" customHeight="1"/>
    <row r="59" spans="2:9" s="46" customFormat="1" ht="20.25" customHeight="1">
      <c r="B59" s="147" t="s">
        <v>67</v>
      </c>
      <c r="C59" s="78" t="s">
        <v>68</v>
      </c>
      <c r="D59" s="34"/>
      <c r="E59" s="126">
        <v>2500</v>
      </c>
      <c r="F59" s="127"/>
    </row>
    <row r="60" spans="2:9" s="46" customFormat="1" ht="20.25" customHeight="1">
      <c r="B60" s="148"/>
      <c r="C60" s="128" t="s">
        <v>69</v>
      </c>
      <c r="E60" s="129">
        <v>10</v>
      </c>
      <c r="F60" s="79"/>
    </row>
    <row r="61" spans="2:9" s="46" customFormat="1" ht="20.25" customHeight="1">
      <c r="B61" s="148"/>
      <c r="C61" s="128" t="s">
        <v>70</v>
      </c>
      <c r="E61" s="91">
        <v>120</v>
      </c>
      <c r="F61" s="52"/>
    </row>
    <row r="62" spans="2:9" s="46" customFormat="1" ht="20.25" customHeight="1">
      <c r="B62" s="148"/>
      <c r="C62" s="128" t="s">
        <v>71</v>
      </c>
      <c r="E62" s="91">
        <v>30</v>
      </c>
      <c r="F62" s="52"/>
    </row>
    <row r="63" spans="2:9" s="46" customFormat="1" ht="20.25" customHeight="1">
      <c r="B63" s="149"/>
      <c r="C63" s="80" t="s">
        <v>72</v>
      </c>
      <c r="D63" s="76"/>
      <c r="E63" s="81">
        <f>(E59/E60)+E61+E62</f>
        <v>400</v>
      </c>
      <c r="F63" s="58"/>
    </row>
    <row r="64" spans="2:9" ht="19.5" customHeight="1"/>
    <row r="65" ht="13.9" customHeight="1"/>
    <row r="66" ht="13.9" customHeight="1"/>
    <row r="67" ht="14.25" customHeight="1"/>
    <row r="68" ht="14.25" customHeight="1"/>
    <row r="69" ht="14.25" customHeight="1"/>
  </sheetData>
  <sheetProtection algorithmName="SHA-512" hashValue="qNidvdY/PAdxp1SaZCSy/zCEn+hV8sPL0ZK4ZaiSZ+qJS5uDzT/J86SThRKVJwen3nsdag7k5Ej/aBHu5k6WSg==" saltValue="xduBNhwyrsr86aSsRIa9fg==" spinCount="100000" sheet="1" objects="1" scenarios="1"/>
  <protectedRanges>
    <protectedRange algorithmName="SHA-512" hashValue="TmZ38IE6TJyBrzw/Q3IdEJuqiE3v3dZut6e34ayJxI729UKiSlg5o2FQxYBGgorKLEsvb6sH2tgyb7FygtkoeA==" saltValue="9LKBX19oVDpu6s99dWrIWQ==" spinCount="100000" sqref="A1:XFD1048576" name="Zusammenfassung"/>
  </protectedRanges>
  <mergeCells count="13">
    <mergeCell ref="B59:B63"/>
    <mergeCell ref="I40:I42"/>
    <mergeCell ref="I36:I38"/>
    <mergeCell ref="B8:K10"/>
    <mergeCell ref="B11:K11"/>
    <mergeCell ref="B14:F14"/>
    <mergeCell ref="I14:L14"/>
    <mergeCell ref="B30:B42"/>
    <mergeCell ref="B27:B28"/>
    <mergeCell ref="B17:B24"/>
    <mergeCell ref="B44:B54"/>
    <mergeCell ref="B56:B57"/>
    <mergeCell ref="I17:I31"/>
  </mergeCells>
  <dataValidations count="1">
    <dataValidation allowBlank="1" showInputMessage="1" showErrorMessage="1" sqref="E19 E18" xr:uid="{ABFAC4CC-4974-4414-BE57-B6156A60A79B}"/>
  </dataValidation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DAB776A-7D0D-4785-B0D0-B17DF780ACA0}">
          <x14:formula1>
            <xm:f>Saatgutkosten!$B$14:$B$24</xm:f>
          </x14:formula1>
          <xm:sqref>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62"/>
  <sheetViews>
    <sheetView topLeftCell="C39" zoomScaleNormal="100" workbookViewId="0">
      <selection activeCell="J50" sqref="J50"/>
    </sheetView>
  </sheetViews>
  <sheetFormatPr baseColWidth="10" defaultColWidth="11" defaultRowHeight="14.25"/>
  <cols>
    <col min="2" max="2" width="23.125" bestFit="1" customWidth="1"/>
    <col min="3" max="3" width="15" bestFit="1" customWidth="1"/>
    <col min="6" max="6" width="23.125" bestFit="1" customWidth="1"/>
    <col min="7" max="7" width="14.875" bestFit="1" customWidth="1"/>
    <col min="8" max="8" width="13.375" bestFit="1" customWidth="1"/>
    <col min="9" max="9" width="15.375" customWidth="1"/>
    <col min="10" max="10" width="20.125" bestFit="1" customWidth="1"/>
  </cols>
  <sheetData>
    <row r="2" spans="2:10" ht="27">
      <c r="B2" s="8"/>
    </row>
    <row r="5" spans="2:10">
      <c r="B5" s="161" t="s">
        <v>28</v>
      </c>
      <c r="C5" s="161"/>
      <c r="D5" s="161"/>
      <c r="G5" t="s">
        <v>73</v>
      </c>
      <c r="H5">
        <v>1</v>
      </c>
    </row>
    <row r="6" spans="2:10">
      <c r="G6" s="9" t="s">
        <v>15</v>
      </c>
      <c r="H6" s="9">
        <v>0.2</v>
      </c>
      <c r="I6" t="s">
        <v>74</v>
      </c>
    </row>
    <row r="7" spans="2:10">
      <c r="B7" t="s">
        <v>75</v>
      </c>
      <c r="C7" s="1">
        <v>0</v>
      </c>
      <c r="D7" t="s">
        <v>76</v>
      </c>
    </row>
    <row r="8" spans="2:10">
      <c r="B8" t="s">
        <v>39</v>
      </c>
      <c r="C8" s="4">
        <f>H12/H5</f>
        <v>400</v>
      </c>
      <c r="D8" t="s">
        <v>76</v>
      </c>
      <c r="G8" t="s">
        <v>77</v>
      </c>
      <c r="H8" s="1">
        <v>3500</v>
      </c>
      <c r="I8" s="162" t="s">
        <v>78</v>
      </c>
      <c r="J8" s="162"/>
    </row>
    <row r="9" spans="2:10">
      <c r="B9" t="s">
        <v>14</v>
      </c>
      <c r="C9" s="1">
        <f>Arbeitskosten!E4+Arbeitskosten!E5</f>
        <v>299.25</v>
      </c>
      <c r="D9" t="s">
        <v>76</v>
      </c>
      <c r="H9">
        <v>10</v>
      </c>
      <c r="I9" s="162" t="s">
        <v>79</v>
      </c>
      <c r="J9" s="162"/>
    </row>
    <row r="10" spans="2:10">
      <c r="B10" t="s">
        <v>16</v>
      </c>
      <c r="C10" s="1">
        <f>Arbeitskosten!E9</f>
        <v>78.400000000000006</v>
      </c>
      <c r="D10" t="s">
        <v>76</v>
      </c>
      <c r="H10" s="1">
        <v>20</v>
      </c>
      <c r="I10" s="162" t="s">
        <v>70</v>
      </c>
      <c r="J10" s="162"/>
    </row>
    <row r="11" spans="2:10">
      <c r="B11" t="s">
        <v>80</v>
      </c>
      <c r="C11" s="1">
        <f>Arbeitskosten!E6+Arbeitskosten!E7</f>
        <v>189.75</v>
      </c>
      <c r="D11" t="s">
        <v>76</v>
      </c>
      <c r="H11" s="1">
        <v>30</v>
      </c>
      <c r="I11" s="162" t="s">
        <v>81</v>
      </c>
      <c r="J11" s="162"/>
    </row>
    <row r="12" spans="2:10">
      <c r="B12" t="s">
        <v>18</v>
      </c>
      <c r="C12" s="1">
        <f>Arbeitskosten!E8</f>
        <v>53.5</v>
      </c>
      <c r="D12" t="s">
        <v>76</v>
      </c>
      <c r="H12" s="10">
        <f>H8/H9+H10+H11</f>
        <v>400</v>
      </c>
      <c r="I12" s="160" t="s">
        <v>82</v>
      </c>
      <c r="J12" s="160"/>
    </row>
    <row r="13" spans="2:10">
      <c r="B13" t="s">
        <v>83</v>
      </c>
      <c r="C13" s="1">
        <f>Arbeitskosten!E10+Arbeitskosten!E11</f>
        <v>148.35</v>
      </c>
      <c r="D13" t="s">
        <v>76</v>
      </c>
    </row>
    <row r="14" spans="2:10">
      <c r="B14" t="s">
        <v>22</v>
      </c>
      <c r="C14" s="1">
        <f>Arbeitskosten!E12</f>
        <v>484.79999999999995</v>
      </c>
      <c r="D14" t="s">
        <v>76</v>
      </c>
    </row>
    <row r="15" spans="2:10">
      <c r="B15" s="2" t="s">
        <v>23</v>
      </c>
      <c r="C15" s="3">
        <f>Arbeitskosten!E13</f>
        <v>120.4</v>
      </c>
      <c r="D15" s="2" t="s">
        <v>76</v>
      </c>
      <c r="H15" s="1">
        <v>500</v>
      </c>
      <c r="I15" t="s">
        <v>84</v>
      </c>
    </row>
    <row r="16" spans="2:10" ht="15">
      <c r="B16" s="5" t="s">
        <v>30</v>
      </c>
      <c r="C16" s="4">
        <f>SUM(C7:C15)</f>
        <v>1774.45</v>
      </c>
      <c r="D16" t="s">
        <v>76</v>
      </c>
      <c r="H16" s="1">
        <v>600</v>
      </c>
      <c r="I16" t="s">
        <v>85</v>
      </c>
    </row>
    <row r="17" spans="2:12">
      <c r="L17" s="1"/>
    </row>
    <row r="18" spans="2:12">
      <c r="L18" s="1"/>
    </row>
    <row r="19" spans="2:12">
      <c r="B19" s="6" t="s">
        <v>86</v>
      </c>
      <c r="C19" s="2" t="s">
        <v>87</v>
      </c>
      <c r="D19" s="2" t="s">
        <v>88</v>
      </c>
    </row>
    <row r="20" spans="2:12">
      <c r="B20" s="7" t="s">
        <v>89</v>
      </c>
      <c r="C20" s="12">
        <f>Saatgutkosten!E17</f>
        <v>210</v>
      </c>
      <c r="D20" s="12">
        <f>Saatgutkosten!E16</f>
        <v>396</v>
      </c>
    </row>
    <row r="21" spans="2:12">
      <c r="B21" s="7" t="s">
        <v>90</v>
      </c>
      <c r="C21" s="12">
        <f>Saatgutkosten!E14</f>
        <v>572</v>
      </c>
      <c r="D21" s="12">
        <f>Saatgutkosten!E14</f>
        <v>572</v>
      </c>
    </row>
    <row r="22" spans="2:12">
      <c r="B22" s="13" t="s">
        <v>91</v>
      </c>
      <c r="D22" s="11">
        <f>Saatgutkosten!E18</f>
        <v>554.4</v>
      </c>
    </row>
    <row r="24" spans="2:12">
      <c r="B24" s="6" t="s">
        <v>92</v>
      </c>
      <c r="C24" s="2" t="s">
        <v>87</v>
      </c>
      <c r="D24" s="2" t="s">
        <v>88</v>
      </c>
      <c r="L24" s="1"/>
    </row>
    <row r="25" spans="2:12">
      <c r="B25" s="7" t="s">
        <v>89</v>
      </c>
      <c r="C25" s="4">
        <f>C16+C20</f>
        <v>1984.45</v>
      </c>
      <c r="D25" s="4">
        <f>C16+D20</f>
        <v>2170.4499999999998</v>
      </c>
    </row>
    <row r="26" spans="2:12">
      <c r="B26" s="7" t="s">
        <v>90</v>
      </c>
      <c r="C26" s="4">
        <f>C16+C21</f>
        <v>2346.4499999999998</v>
      </c>
      <c r="D26" s="4">
        <f>C16+D21</f>
        <v>2346.4499999999998</v>
      </c>
    </row>
    <row r="27" spans="2:12">
      <c r="B27" s="13" t="s">
        <v>93</v>
      </c>
      <c r="D27" s="4">
        <f>C16+D22</f>
        <v>2328.85</v>
      </c>
    </row>
    <row r="29" spans="2:12">
      <c r="B29" s="161" t="s">
        <v>94</v>
      </c>
      <c r="C29" s="161"/>
      <c r="D29" s="161"/>
    </row>
    <row r="31" spans="2:12">
      <c r="B31" s="6" t="s">
        <v>95</v>
      </c>
      <c r="C31" s="2" t="s">
        <v>87</v>
      </c>
      <c r="D31" s="2" t="s">
        <v>88</v>
      </c>
    </row>
    <row r="32" spans="2:12">
      <c r="B32" s="7" t="s">
        <v>89</v>
      </c>
      <c r="C32" s="15">
        <v>4000</v>
      </c>
      <c r="D32" s="15">
        <v>3800</v>
      </c>
    </row>
    <row r="33" spans="2:10">
      <c r="B33" s="7" t="s">
        <v>90</v>
      </c>
      <c r="C33" s="15">
        <v>11.7</v>
      </c>
      <c r="D33" s="15">
        <v>3100</v>
      </c>
    </row>
    <row r="34" spans="2:10">
      <c r="B34" s="7" t="s">
        <v>93</v>
      </c>
      <c r="D34" s="15">
        <v>1300</v>
      </c>
    </row>
    <row r="36" spans="2:10">
      <c r="B36" s="6" t="s">
        <v>96</v>
      </c>
      <c r="C36" s="2" t="s">
        <v>87</v>
      </c>
      <c r="D36" s="2" t="s">
        <v>88</v>
      </c>
    </row>
    <row r="37" spans="2:10">
      <c r="B37" s="7" t="s">
        <v>89</v>
      </c>
      <c r="C37" s="1">
        <v>0.8</v>
      </c>
      <c r="D37" s="1">
        <v>1.1000000000000001</v>
      </c>
    </row>
    <row r="38" spans="2:10">
      <c r="B38" s="7" t="s">
        <v>90</v>
      </c>
      <c r="C38" s="1">
        <v>0.8</v>
      </c>
      <c r="D38" s="1">
        <v>1.1000000000000001</v>
      </c>
    </row>
    <row r="39" spans="2:10">
      <c r="B39" s="7" t="s">
        <v>93</v>
      </c>
      <c r="D39" s="1">
        <v>2.7</v>
      </c>
    </row>
    <row r="41" spans="2:10">
      <c r="B41" s="6" t="s">
        <v>97</v>
      </c>
      <c r="C41" s="2" t="s">
        <v>87</v>
      </c>
      <c r="D41" s="2" t="s">
        <v>88</v>
      </c>
      <c r="F41" s="6" t="s">
        <v>98</v>
      </c>
      <c r="G41" s="2" t="s">
        <v>87</v>
      </c>
      <c r="H41" s="2" t="s">
        <v>88</v>
      </c>
      <c r="I41" s="2" t="s">
        <v>99</v>
      </c>
    </row>
    <row r="42" spans="2:10">
      <c r="B42" s="7" t="s">
        <v>89</v>
      </c>
      <c r="C42" s="1">
        <f>C32*C37</f>
        <v>3200</v>
      </c>
      <c r="D42" s="1">
        <f>D32*D37</f>
        <v>4180</v>
      </c>
      <c r="F42" s="7" t="s">
        <v>89</v>
      </c>
      <c r="G42" s="1">
        <f>C42+$I$42</f>
        <v>3970</v>
      </c>
      <c r="H42" s="1">
        <f>D42+$I$42</f>
        <v>4950</v>
      </c>
      <c r="I42" s="1">
        <v>770</v>
      </c>
      <c r="J42" t="s">
        <v>76</v>
      </c>
    </row>
    <row r="43" spans="2:10">
      <c r="B43" s="7" t="s">
        <v>90</v>
      </c>
      <c r="C43" s="1">
        <f>C33*C38</f>
        <v>9.36</v>
      </c>
      <c r="D43" s="1">
        <f>D33*D38</f>
        <v>3410.0000000000005</v>
      </c>
      <c r="F43" s="7" t="s">
        <v>90</v>
      </c>
      <c r="G43" s="1">
        <f>C43+$I$43</f>
        <v>709.36</v>
      </c>
      <c r="H43" s="1">
        <f>D43+$I$43</f>
        <v>4110</v>
      </c>
      <c r="I43" s="1">
        <v>700</v>
      </c>
      <c r="J43" t="s">
        <v>76</v>
      </c>
    </row>
    <row r="44" spans="2:10">
      <c r="B44" s="13" t="s">
        <v>93</v>
      </c>
      <c r="D44" s="4">
        <f>D34*D39</f>
        <v>3510.0000000000005</v>
      </c>
    </row>
    <row r="46" spans="2:10">
      <c r="B46" s="6" t="s">
        <v>100</v>
      </c>
      <c r="C46" s="2" t="s">
        <v>87</v>
      </c>
      <c r="D46" s="2" t="s">
        <v>88</v>
      </c>
      <c r="F46" s="6" t="s">
        <v>101</v>
      </c>
      <c r="G46" s="2" t="s">
        <v>87</v>
      </c>
      <c r="H46" s="2" t="s">
        <v>88</v>
      </c>
      <c r="I46" s="2" t="s">
        <v>99</v>
      </c>
    </row>
    <row r="47" spans="2:10">
      <c r="B47" s="7" t="s">
        <v>89</v>
      </c>
      <c r="C47" s="1">
        <f>C37*C32*(1-H6)</f>
        <v>2560</v>
      </c>
      <c r="D47" s="1">
        <f>D37*D32*(1-H6)</f>
        <v>3344</v>
      </c>
      <c r="F47" s="7" t="s">
        <v>89</v>
      </c>
      <c r="G47" s="1">
        <f>C47+$I$47</f>
        <v>3330</v>
      </c>
      <c r="H47" s="1">
        <f>D47+$I$47</f>
        <v>4114</v>
      </c>
      <c r="I47" s="1">
        <v>770</v>
      </c>
      <c r="J47" t="s">
        <v>76</v>
      </c>
    </row>
    <row r="48" spans="2:10">
      <c r="B48" s="7" t="s">
        <v>90</v>
      </c>
      <c r="C48" s="1">
        <f>C38*C33*(1-H6)</f>
        <v>7.4879999999999995</v>
      </c>
      <c r="D48" s="1">
        <f>D38*D33*(1-H6)</f>
        <v>2728.0000000000005</v>
      </c>
      <c r="F48" s="7" t="s">
        <v>90</v>
      </c>
      <c r="G48" s="1">
        <f>C48+$I$48</f>
        <v>707.48800000000006</v>
      </c>
      <c r="H48" s="1">
        <f>D48+$I$48</f>
        <v>3428.0000000000005</v>
      </c>
      <c r="I48" s="1">
        <v>700</v>
      </c>
      <c r="J48" t="s">
        <v>76</v>
      </c>
    </row>
    <row r="49" spans="2:12">
      <c r="B49" s="13" t="s">
        <v>93</v>
      </c>
      <c r="D49" s="4">
        <f>D34*D39*(1-H6)</f>
        <v>2808.0000000000005</v>
      </c>
    </row>
    <row r="52" spans="2:12">
      <c r="B52" s="161" t="s">
        <v>102</v>
      </c>
      <c r="C52" s="161"/>
      <c r="D52" s="161"/>
      <c r="F52" s="161" t="s">
        <v>103</v>
      </c>
      <c r="G52" s="161"/>
      <c r="H52" s="161"/>
      <c r="J52" s="161" t="s">
        <v>104</v>
      </c>
      <c r="K52" s="161"/>
      <c r="L52" s="161"/>
    </row>
    <row r="54" spans="2:12">
      <c r="B54" s="6" t="s">
        <v>105</v>
      </c>
      <c r="C54" s="2" t="s">
        <v>87</v>
      </c>
      <c r="D54" s="2" t="s">
        <v>88</v>
      </c>
      <c r="F54" s="6" t="s">
        <v>105</v>
      </c>
      <c r="G54" s="2" t="s">
        <v>87</v>
      </c>
      <c r="H54" s="2" t="s">
        <v>88</v>
      </c>
      <c r="J54" s="6" t="s">
        <v>105</v>
      </c>
      <c r="K54" s="2" t="s">
        <v>87</v>
      </c>
      <c r="L54" s="2" t="s">
        <v>88</v>
      </c>
    </row>
    <row r="55" spans="2:12">
      <c r="B55" s="7" t="s">
        <v>89</v>
      </c>
      <c r="C55" s="1">
        <f>C42-C25</f>
        <v>1215.55</v>
      </c>
      <c r="D55" s="1">
        <f>D42-D25</f>
        <v>2009.5500000000002</v>
      </c>
      <c r="F55" s="7" t="s">
        <v>89</v>
      </c>
      <c r="G55" s="1">
        <f>G42-$C$25</f>
        <v>1985.55</v>
      </c>
      <c r="H55" s="1">
        <f>H42-$D$25</f>
        <v>2779.55</v>
      </c>
      <c r="J55" s="7" t="s">
        <v>89</v>
      </c>
      <c r="K55" s="1">
        <f>G55+$H$15</f>
        <v>2485.5500000000002</v>
      </c>
      <c r="L55" s="1">
        <f>H55+$H$16</f>
        <v>3379.55</v>
      </c>
    </row>
    <row r="56" spans="2:12">
      <c r="B56" s="7" t="s">
        <v>90</v>
      </c>
      <c r="C56" s="1">
        <f>C43-C26</f>
        <v>-2337.0899999999997</v>
      </c>
      <c r="D56" s="1">
        <f>D43-D26</f>
        <v>1063.5500000000006</v>
      </c>
      <c r="F56" s="7" t="s">
        <v>90</v>
      </c>
      <c r="G56" s="1">
        <f>G43-$C$25</f>
        <v>-1275.0900000000001</v>
      </c>
      <c r="H56" s="1">
        <f>H43-$D$25</f>
        <v>1939.5500000000002</v>
      </c>
      <c r="J56" s="7" t="s">
        <v>90</v>
      </c>
      <c r="K56" s="1">
        <f>G56+$H$15</f>
        <v>-775.09000000000015</v>
      </c>
      <c r="L56" s="1">
        <f>H56+$H$16</f>
        <v>2539.5500000000002</v>
      </c>
    </row>
    <row r="57" spans="2:12">
      <c r="B57" s="13" t="s">
        <v>93</v>
      </c>
      <c r="D57" s="4">
        <f>D44-D27</f>
        <v>1181.1500000000005</v>
      </c>
    </row>
    <row r="59" spans="2:12">
      <c r="B59" s="6" t="s">
        <v>106</v>
      </c>
      <c r="C59" s="2" t="s">
        <v>87</v>
      </c>
      <c r="D59" s="2" t="s">
        <v>88</v>
      </c>
      <c r="F59" s="6" t="s">
        <v>106</v>
      </c>
      <c r="G59" s="2" t="s">
        <v>87</v>
      </c>
      <c r="H59" s="2" t="s">
        <v>88</v>
      </c>
      <c r="J59" s="6" t="s">
        <v>106</v>
      </c>
      <c r="K59" s="2" t="s">
        <v>87</v>
      </c>
      <c r="L59" s="2" t="s">
        <v>88</v>
      </c>
    </row>
    <row r="60" spans="2:12">
      <c r="B60" s="7" t="s">
        <v>89</v>
      </c>
      <c r="C60" s="1">
        <f>C47-C25</f>
        <v>575.54999999999995</v>
      </c>
      <c r="D60" s="1">
        <f>D47-D25</f>
        <v>1173.5500000000002</v>
      </c>
      <c r="F60" s="7" t="s">
        <v>89</v>
      </c>
      <c r="G60" s="1">
        <f>G47-$C$25</f>
        <v>1345.55</v>
      </c>
      <c r="H60" s="1">
        <f>H47-$D$25</f>
        <v>1943.5500000000002</v>
      </c>
      <c r="J60" s="7" t="s">
        <v>89</v>
      </c>
      <c r="K60" s="1">
        <f>G60+$H$15</f>
        <v>1845.55</v>
      </c>
      <c r="L60" s="1">
        <f>H60+$H$16</f>
        <v>2543.5500000000002</v>
      </c>
    </row>
    <row r="61" spans="2:12">
      <c r="B61" s="7" t="s">
        <v>90</v>
      </c>
      <c r="C61" s="1">
        <f>C48-C26</f>
        <v>-2338.962</v>
      </c>
      <c r="D61" s="1">
        <f>D48-D26</f>
        <v>381.55000000000064</v>
      </c>
      <c r="F61" s="7" t="s">
        <v>90</v>
      </c>
      <c r="G61" s="1">
        <f>G48-$C$25</f>
        <v>-1276.962</v>
      </c>
      <c r="H61" s="1">
        <f>H48-$D$25</f>
        <v>1257.5500000000006</v>
      </c>
      <c r="J61" s="7" t="s">
        <v>90</v>
      </c>
      <c r="K61" s="1">
        <f>G61+$H$15</f>
        <v>-776.96199999999999</v>
      </c>
      <c r="L61" s="1">
        <f>H61+$H$16</f>
        <v>1857.5500000000006</v>
      </c>
    </row>
    <row r="62" spans="2:12">
      <c r="B62" s="13" t="s">
        <v>93</v>
      </c>
      <c r="D62" s="4">
        <f>D49-D27</f>
        <v>479.15000000000055</v>
      </c>
    </row>
  </sheetData>
  <mergeCells count="10">
    <mergeCell ref="I12:J12"/>
    <mergeCell ref="J52:L52"/>
    <mergeCell ref="B5:D5"/>
    <mergeCell ref="B29:D29"/>
    <mergeCell ref="B52:D52"/>
    <mergeCell ref="F52:H52"/>
    <mergeCell ref="I8:J8"/>
    <mergeCell ref="I9:J9"/>
    <mergeCell ref="I10:J10"/>
    <mergeCell ref="I11:J11"/>
  </mergeCells>
  <pageMargins left="0.7" right="0.7" top="0.78740157499999996" bottom="0.78740157499999996"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L33"/>
  <sheetViews>
    <sheetView showGridLines="0" workbookViewId="0">
      <selection activeCell="E14" sqref="E14"/>
    </sheetView>
  </sheetViews>
  <sheetFormatPr baseColWidth="10" defaultColWidth="11" defaultRowHeight="14.25"/>
  <cols>
    <col min="2" max="2" width="26.375" bestFit="1" customWidth="1"/>
    <col min="3" max="3" width="17.125" bestFit="1" customWidth="1"/>
    <col min="4" max="4" width="13.75" bestFit="1" customWidth="1"/>
  </cols>
  <sheetData>
    <row r="3" spans="2:12">
      <c r="B3" s="26"/>
      <c r="C3" s="27" t="s">
        <v>55</v>
      </c>
      <c r="D3" s="27" t="s">
        <v>56</v>
      </c>
      <c r="E3" s="28" t="s">
        <v>107</v>
      </c>
      <c r="G3" s="26"/>
      <c r="H3" s="27" t="s">
        <v>55</v>
      </c>
      <c r="I3" s="27" t="s">
        <v>56</v>
      </c>
      <c r="J3" s="27" t="s">
        <v>107</v>
      </c>
      <c r="K3" s="27"/>
      <c r="L3" s="28" t="s">
        <v>108</v>
      </c>
    </row>
    <row r="4" spans="2:12">
      <c r="B4" s="16" t="s">
        <v>109</v>
      </c>
      <c r="C4" s="17" t="s">
        <v>58</v>
      </c>
      <c r="D4" s="17">
        <f>Zusammenfassung!E45</f>
        <v>3</v>
      </c>
      <c r="E4" s="23">
        <f>($C$18+$C$19+$C$20)*$D$4</f>
        <v>188.39999999999998</v>
      </c>
      <c r="G4" s="16" t="s">
        <v>109</v>
      </c>
      <c r="H4" s="17" t="s">
        <v>58</v>
      </c>
      <c r="I4" s="17">
        <f>D4</f>
        <v>3</v>
      </c>
      <c r="J4" s="21">
        <f>(C20+C19+C18)*I4</f>
        <v>188.39999999999998</v>
      </c>
      <c r="K4" s="17"/>
      <c r="L4" s="14">
        <v>3</v>
      </c>
    </row>
    <row r="5" spans="2:12">
      <c r="B5" s="19" t="s">
        <v>110</v>
      </c>
      <c r="C5" t="s">
        <v>59</v>
      </c>
      <c r="D5">
        <f>Zusammenfassung!E46</f>
        <v>1.5</v>
      </c>
      <c r="E5" s="24">
        <f>($C$18+$C$19+$C$23)*$D$5</f>
        <v>110.85000000000001</v>
      </c>
      <c r="G5" s="19" t="s">
        <v>111</v>
      </c>
      <c r="H5" t="s">
        <v>59</v>
      </c>
      <c r="I5">
        <f t="shared" ref="I5:I6" si="0">D5</f>
        <v>1.5</v>
      </c>
      <c r="J5" s="22">
        <f>(C18+C19+C22)*I5</f>
        <v>95.25</v>
      </c>
      <c r="L5" s="18">
        <v>1.5</v>
      </c>
    </row>
    <row r="6" spans="2:12">
      <c r="B6" s="19"/>
      <c r="C6" s="19" t="s">
        <v>60</v>
      </c>
      <c r="D6">
        <f>Zusammenfassung!E47</f>
        <v>1.5</v>
      </c>
      <c r="E6" s="24">
        <f>($C$18+$C$19+$C$24)*$D$6</f>
        <v>93.6</v>
      </c>
      <c r="G6" s="19"/>
      <c r="H6" t="s">
        <v>112</v>
      </c>
      <c r="I6">
        <f t="shared" si="0"/>
        <v>1.5</v>
      </c>
      <c r="J6" s="22">
        <f>(C18+C19+C24)*I6</f>
        <v>93.6</v>
      </c>
      <c r="L6" s="18">
        <v>1.5</v>
      </c>
    </row>
    <row r="7" spans="2:12">
      <c r="B7" s="19"/>
      <c r="C7" s="19" t="s">
        <v>61</v>
      </c>
      <c r="D7">
        <f>Zusammenfassung!E48</f>
        <v>1.5</v>
      </c>
      <c r="E7" s="24">
        <f>($C$18+$C$19+$C$25)*$D$7</f>
        <v>96.149999999999991</v>
      </c>
      <c r="G7" s="19"/>
      <c r="H7" t="s">
        <v>18</v>
      </c>
      <c r="I7">
        <f>D8</f>
        <v>1</v>
      </c>
      <c r="J7" s="22">
        <f>(C18+C19+C26)*I7</f>
        <v>53.5</v>
      </c>
      <c r="L7" s="18">
        <v>1.5</v>
      </c>
    </row>
    <row r="8" spans="2:12">
      <c r="B8" s="19"/>
      <c r="C8" t="s">
        <v>18</v>
      </c>
      <c r="D8">
        <f>Zusammenfassung!E49</f>
        <v>1</v>
      </c>
      <c r="E8" s="24">
        <f>($C$18+$C$19+$C$26)*$D$8</f>
        <v>53.5</v>
      </c>
      <c r="G8" s="19"/>
      <c r="H8" t="s">
        <v>16</v>
      </c>
      <c r="I8">
        <f>D9</f>
        <v>1</v>
      </c>
      <c r="J8" s="22">
        <f>(C18+C19+C27)*I8</f>
        <v>78.400000000000006</v>
      </c>
      <c r="L8" s="18">
        <v>1.5</v>
      </c>
    </row>
    <row r="9" spans="2:12">
      <c r="B9" s="19"/>
      <c r="C9" t="s">
        <v>16</v>
      </c>
      <c r="D9">
        <f>Zusammenfassung!E50</f>
        <v>1</v>
      </c>
      <c r="E9" s="24">
        <f>($C$18+$C$19+$C$27)*$D$9</f>
        <v>78.400000000000006</v>
      </c>
      <c r="G9" s="19"/>
      <c r="H9" t="s">
        <v>20</v>
      </c>
      <c r="I9">
        <f>D10</f>
        <v>1.5</v>
      </c>
      <c r="J9" s="22">
        <f>(C18+C19+C29)*I9</f>
        <v>85.35</v>
      </c>
      <c r="L9" s="18">
        <v>1</v>
      </c>
    </row>
    <row r="10" spans="2:12">
      <c r="B10" s="19"/>
      <c r="C10" s="19" t="s">
        <v>20</v>
      </c>
      <c r="D10">
        <f>Zusammenfassung!E51</f>
        <v>1.5</v>
      </c>
      <c r="E10" s="24">
        <f>($C$18+$C$19+$C$29)*$D$10</f>
        <v>85.35</v>
      </c>
      <c r="G10" s="19"/>
      <c r="H10" t="s">
        <v>22</v>
      </c>
      <c r="I10">
        <f>D12</f>
        <v>1.5</v>
      </c>
      <c r="J10" s="22">
        <f>((C19+C31)*I10)+C32</f>
        <v>484.79999999999995</v>
      </c>
      <c r="L10" s="18">
        <v>1.3</v>
      </c>
    </row>
    <row r="11" spans="2:12">
      <c r="B11" s="19"/>
      <c r="C11" s="19" t="s">
        <v>62</v>
      </c>
      <c r="D11">
        <f>Zusammenfassung!E52</f>
        <v>1</v>
      </c>
      <c r="E11" s="24">
        <f>($C$18+$C$19+$C$30)*$D$11</f>
        <v>63</v>
      </c>
      <c r="G11" s="20"/>
      <c r="H11" s="2" t="s">
        <v>64</v>
      </c>
      <c r="I11" s="2">
        <f>D13</f>
        <v>2</v>
      </c>
      <c r="J11" s="3">
        <f>(C18+C19+C33)*I11</f>
        <v>120.4</v>
      </c>
      <c r="K11" s="2"/>
      <c r="L11" s="6">
        <v>2</v>
      </c>
    </row>
    <row r="12" spans="2:12" ht="15">
      <c r="B12" s="19"/>
      <c r="C12" t="s">
        <v>63</v>
      </c>
      <c r="D12">
        <v>1.5</v>
      </c>
      <c r="E12" s="24">
        <f>(($C$19+$C$31)*$D$12)+$C$32</f>
        <v>484.79999999999995</v>
      </c>
      <c r="G12" s="29"/>
      <c r="H12" s="30"/>
      <c r="I12" s="30"/>
      <c r="J12" s="32">
        <f>SUM(J4:J11)</f>
        <v>1199.7</v>
      </c>
      <c r="K12" s="30"/>
      <c r="L12" s="33"/>
    </row>
    <row r="13" spans="2:12">
      <c r="B13" s="20"/>
      <c r="C13" s="2" t="s">
        <v>64</v>
      </c>
      <c r="D13" s="2">
        <f>Zusammenfassung!E54</f>
        <v>2</v>
      </c>
      <c r="E13" s="25">
        <f>($C$18+$C$19+$C$33)*$D$13</f>
        <v>120.4</v>
      </c>
    </row>
    <row r="14" spans="2:12" ht="15">
      <c r="B14" s="29"/>
      <c r="C14" s="30"/>
      <c r="D14" s="30"/>
      <c r="E14" s="31">
        <f>SUM(E4:E13)</f>
        <v>1374.45</v>
      </c>
    </row>
    <row r="17" spans="2:5">
      <c r="B17" s="26" t="s">
        <v>33</v>
      </c>
      <c r="C17" s="27" t="s">
        <v>34</v>
      </c>
      <c r="D17" s="27"/>
      <c r="E17" s="28"/>
    </row>
    <row r="18" spans="2:5">
      <c r="B18" s="16" t="s">
        <v>113</v>
      </c>
      <c r="C18" s="21">
        <v>32</v>
      </c>
      <c r="D18" s="17"/>
      <c r="E18" s="14"/>
    </row>
    <row r="19" spans="2:5">
      <c r="B19" s="19" t="s">
        <v>36</v>
      </c>
      <c r="C19" s="22">
        <v>16.5</v>
      </c>
      <c r="E19" s="18"/>
    </row>
    <row r="20" spans="2:5">
      <c r="B20" s="19" t="s">
        <v>109</v>
      </c>
      <c r="C20" s="22">
        <v>14.3</v>
      </c>
      <c r="E20" s="18"/>
    </row>
    <row r="21" spans="2:5">
      <c r="B21" s="19" t="s">
        <v>114</v>
      </c>
      <c r="C21" s="22">
        <v>26.6</v>
      </c>
      <c r="E21" s="18"/>
    </row>
    <row r="22" spans="2:5">
      <c r="B22" s="19" t="s">
        <v>111</v>
      </c>
      <c r="C22" s="22">
        <v>15</v>
      </c>
      <c r="E22" s="18"/>
    </row>
    <row r="23" spans="2:5">
      <c r="B23" s="19" t="s">
        <v>40</v>
      </c>
      <c r="C23" s="22">
        <v>25.4</v>
      </c>
      <c r="E23" s="18"/>
    </row>
    <row r="24" spans="2:5">
      <c r="B24" s="19" t="s">
        <v>115</v>
      </c>
      <c r="C24" s="22">
        <v>13.9</v>
      </c>
      <c r="E24" s="18"/>
    </row>
    <row r="25" spans="2:5">
      <c r="B25" s="19" t="s">
        <v>116</v>
      </c>
      <c r="C25" s="22">
        <v>15.6</v>
      </c>
      <c r="D25" t="s">
        <v>117</v>
      </c>
      <c r="E25" s="18"/>
    </row>
    <row r="26" spans="2:5">
      <c r="B26" s="19" t="s">
        <v>42</v>
      </c>
      <c r="C26" s="22">
        <v>5</v>
      </c>
      <c r="E26" s="18"/>
    </row>
    <row r="27" spans="2:5">
      <c r="B27" s="19" t="s">
        <v>45</v>
      </c>
      <c r="C27" s="22">
        <v>29.9</v>
      </c>
      <c r="E27" s="18"/>
    </row>
    <row r="28" spans="2:5">
      <c r="B28" s="19" t="s">
        <v>46</v>
      </c>
      <c r="C28" s="22">
        <v>6.3</v>
      </c>
      <c r="E28" s="18"/>
    </row>
    <row r="29" spans="2:5">
      <c r="B29" s="19" t="s">
        <v>47</v>
      </c>
      <c r="C29" s="22">
        <v>8.4</v>
      </c>
      <c r="E29" s="18"/>
    </row>
    <row r="30" spans="2:5">
      <c r="B30" s="19" t="s">
        <v>118</v>
      </c>
      <c r="C30" s="22">
        <v>14.5</v>
      </c>
      <c r="D30" t="s">
        <v>119</v>
      </c>
      <c r="E30" s="18"/>
    </row>
    <row r="31" spans="2:5">
      <c r="B31" s="19" t="s">
        <v>22</v>
      </c>
      <c r="C31" s="22">
        <v>246.7</v>
      </c>
      <c r="E31" s="18"/>
    </row>
    <row r="32" spans="2:5">
      <c r="B32" s="19" t="s">
        <v>50</v>
      </c>
      <c r="C32" s="22">
        <v>90</v>
      </c>
      <c r="E32" s="18"/>
    </row>
    <row r="33" spans="2:5">
      <c r="B33" s="20" t="s">
        <v>52</v>
      </c>
      <c r="C33" s="3">
        <v>11.7</v>
      </c>
      <c r="D33" s="2"/>
      <c r="E33" s="6"/>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1C7F-E149-47E9-B2A6-F0FCED279DBC}">
  <dimension ref="B13:F24"/>
  <sheetViews>
    <sheetView showGridLines="0" topLeftCell="A2" workbookViewId="0">
      <selection activeCell="F17" sqref="F17"/>
    </sheetView>
  </sheetViews>
  <sheetFormatPr baseColWidth="10" defaultColWidth="11" defaultRowHeight="14.25"/>
  <cols>
    <col min="2" max="2" width="13.5" bestFit="1" customWidth="1"/>
    <col min="3" max="3" width="18.125" customWidth="1"/>
    <col min="4" max="4" width="18.125" bestFit="1" customWidth="1"/>
    <col min="5" max="5" width="20.25" customWidth="1"/>
    <col min="6" max="6" width="22.875" style="92" customWidth="1"/>
  </cols>
  <sheetData>
    <row r="13" spans="2:6" ht="15">
      <c r="B13" s="105" t="s">
        <v>7</v>
      </c>
      <c r="C13" s="106" t="s">
        <v>26</v>
      </c>
      <c r="D13" s="105" t="s">
        <v>120</v>
      </c>
      <c r="E13" s="105" t="s">
        <v>28</v>
      </c>
      <c r="F13" s="107" t="s">
        <v>121</v>
      </c>
    </row>
    <row r="14" spans="2:6">
      <c r="B14" s="98" t="s">
        <v>122</v>
      </c>
      <c r="C14" s="93">
        <v>2.6</v>
      </c>
      <c r="D14" s="144">
        <v>220</v>
      </c>
      <c r="E14" s="103">
        <f>C14*D14</f>
        <v>572</v>
      </c>
      <c r="F14" s="94">
        <v>3000</v>
      </c>
    </row>
    <row r="15" spans="2:6">
      <c r="B15" s="98" t="s">
        <v>123</v>
      </c>
      <c r="C15" s="93">
        <v>1.4</v>
      </c>
      <c r="D15" s="144">
        <v>200</v>
      </c>
      <c r="E15" s="103">
        <f t="shared" ref="E15:E24" si="0">C15*D15</f>
        <v>280</v>
      </c>
      <c r="F15" s="94">
        <v>2000</v>
      </c>
    </row>
    <row r="16" spans="2:6">
      <c r="B16" s="98" t="s">
        <v>124</v>
      </c>
      <c r="C16" s="93">
        <v>1.8</v>
      </c>
      <c r="D16" s="144">
        <v>220</v>
      </c>
      <c r="E16" s="103">
        <f t="shared" si="0"/>
        <v>396</v>
      </c>
      <c r="F16" s="94">
        <v>2500</v>
      </c>
    </row>
    <row r="17" spans="2:6">
      <c r="B17" s="98" t="s">
        <v>125</v>
      </c>
      <c r="C17" s="93">
        <v>1</v>
      </c>
      <c r="D17" s="144">
        <v>210</v>
      </c>
      <c r="E17" s="103">
        <f t="shared" si="0"/>
        <v>210</v>
      </c>
      <c r="F17" s="94">
        <v>3200</v>
      </c>
    </row>
    <row r="18" spans="2:6">
      <c r="B18" s="98" t="s">
        <v>126</v>
      </c>
      <c r="C18" s="93">
        <v>3.3</v>
      </c>
      <c r="D18" s="144">
        <v>168</v>
      </c>
      <c r="E18" s="103">
        <f t="shared" si="0"/>
        <v>554.4</v>
      </c>
      <c r="F18" s="94">
        <v>3200</v>
      </c>
    </row>
    <row r="19" spans="2:6">
      <c r="B19" s="98" t="s">
        <v>8</v>
      </c>
      <c r="C19" s="93">
        <v>2</v>
      </c>
      <c r="D19" s="144">
        <v>150</v>
      </c>
      <c r="E19" s="103">
        <f>C19*D19</f>
        <v>300</v>
      </c>
      <c r="F19" s="94">
        <v>3200</v>
      </c>
    </row>
    <row r="20" spans="2:6">
      <c r="B20" s="98" t="s">
        <v>127</v>
      </c>
      <c r="C20" s="93">
        <v>3</v>
      </c>
      <c r="D20" s="144">
        <v>120</v>
      </c>
      <c r="E20" s="103">
        <f t="shared" si="0"/>
        <v>360</v>
      </c>
      <c r="F20" s="94">
        <v>2500</v>
      </c>
    </row>
    <row r="21" spans="2:6">
      <c r="B21" s="98" t="s">
        <v>128</v>
      </c>
      <c r="C21" s="93">
        <v>4</v>
      </c>
      <c r="D21" s="144">
        <v>80</v>
      </c>
      <c r="E21" s="103">
        <f t="shared" si="0"/>
        <v>320</v>
      </c>
      <c r="F21" s="94">
        <v>2000</v>
      </c>
    </row>
    <row r="22" spans="2:6">
      <c r="B22" s="99" t="s">
        <v>129</v>
      </c>
      <c r="C22" s="93"/>
      <c r="D22" s="101"/>
      <c r="E22" s="103">
        <f t="shared" si="0"/>
        <v>0</v>
      </c>
      <c r="F22" s="95"/>
    </row>
    <row r="23" spans="2:6">
      <c r="B23" s="99" t="s">
        <v>130</v>
      </c>
      <c r="C23" s="93"/>
      <c r="D23" s="101"/>
      <c r="E23" s="103">
        <f t="shared" si="0"/>
        <v>0</v>
      </c>
      <c r="F23" s="95"/>
    </row>
    <row r="24" spans="2:6">
      <c r="B24" s="100" t="s">
        <v>131</v>
      </c>
      <c r="C24" s="96"/>
      <c r="D24" s="102"/>
      <c r="E24" s="104">
        <f t="shared" si="0"/>
        <v>0</v>
      </c>
      <c r="F24" s="97"/>
    </row>
  </sheetData>
  <sheetProtection algorithmName="SHA-512" hashValue="oKrv9XcqZu969T7P71u1GkYLw5ijnrfFQOPRCoESm3ECquNMqsle4K2T5r7sjPTN78DhzFdowSp+KoZIYVCWUw==" saltValue="qqcHqQRs7VqjzZqC57fNsQ==" spinCount="100000" sheet="1" objects="1" scenarios="1"/>
  <protectedRanges>
    <protectedRange sqref="C14:C24 B22:B24 D22:D24 F22:F24" name="Satgutkosten"/>
  </protectedRanges>
  <pageMargins left="0.7" right="0.7" top="0.78740157499999996" bottom="0.78740157499999996" header="0.3" footer="0.3"/>
  <pageSetup paperSize="9" orientation="portrait" horizontalDpi="4294967295" verticalDpi="4294967295"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df2150-8959-4039-9a47-c8f8e5af0f37" xsi:nil="true"/>
    <lcf76f155ced4ddcb4097134ff3c332f xmlns="7e4a9892-169f-4de7-a63e-5e1ce744ab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01912815CBF14089A6F01FE1C92C8E" ma:contentTypeVersion="16" ma:contentTypeDescription="Create a new document." ma:contentTypeScope="" ma:versionID="d5003a469d469148675ffbd9e14797af">
  <xsd:schema xmlns:xsd="http://www.w3.org/2001/XMLSchema" xmlns:xs="http://www.w3.org/2001/XMLSchema" xmlns:p="http://schemas.microsoft.com/office/2006/metadata/properties" xmlns:ns2="7e4a9892-169f-4de7-a63e-5e1ce744abac" xmlns:ns3="addf2150-8959-4039-9a47-c8f8e5af0f37" targetNamespace="http://schemas.microsoft.com/office/2006/metadata/properties" ma:root="true" ma:fieldsID="739aa5adc66049f8a151449bd1a568a6" ns2:_="" ns3:_="">
    <xsd:import namespace="7e4a9892-169f-4de7-a63e-5e1ce744abac"/>
    <xsd:import namespace="addf2150-8959-4039-9a47-c8f8e5af0f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a9892-169f-4de7-a63e-5e1ce744ab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20763e-5406-45ed-a599-00c5dcd0a28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df2150-8959-4039-9a47-c8f8e5af0f3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e1b80f2-b4f8-4476-865d-1b69f3cdb015}" ma:internalName="TaxCatchAll" ma:showField="CatchAllData" ma:web="addf2150-8959-4039-9a47-c8f8e5af0f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08F112-4529-4474-9E18-666424BD6789}">
  <ds:schemaRefs>
    <ds:schemaRef ds:uri="http://schemas.microsoft.com/office/2006/metadata/properties"/>
    <ds:schemaRef ds:uri="http://schemas.microsoft.com/office/infopath/2007/PartnerControls"/>
    <ds:schemaRef ds:uri="addf2150-8959-4039-9a47-c8f8e5af0f37"/>
    <ds:schemaRef ds:uri="7e4a9892-169f-4de7-a63e-5e1ce744abac"/>
  </ds:schemaRefs>
</ds:datastoreItem>
</file>

<file path=customXml/itemProps2.xml><?xml version="1.0" encoding="utf-8"?>
<ds:datastoreItem xmlns:ds="http://schemas.openxmlformats.org/officeDocument/2006/customXml" ds:itemID="{D7B1C08E-FB65-426F-8355-6C4DC30E9C1F}">
  <ds:schemaRefs>
    <ds:schemaRef ds:uri="http://schemas.microsoft.com/sharepoint/v3/contenttype/forms"/>
  </ds:schemaRefs>
</ds:datastoreItem>
</file>

<file path=customXml/itemProps3.xml><?xml version="1.0" encoding="utf-8"?>
<ds:datastoreItem xmlns:ds="http://schemas.openxmlformats.org/officeDocument/2006/customXml" ds:itemID="{D9ECCE75-E78F-4CFD-8D8D-4D2300202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4a9892-169f-4de7-a63e-5e1ce744abac"/>
    <ds:schemaRef ds:uri="addf2150-8959-4039-9a47-c8f8e5af0f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Zusammenfassung</vt:lpstr>
      <vt:lpstr>Berechnung mit Trocknungsanlage</vt:lpstr>
      <vt:lpstr>Arbeitskosten</vt:lpstr>
      <vt:lpstr>Saatgutkosten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AAlber</dc:creator>
  <cp:keywords/>
  <dc:description/>
  <cp:lastModifiedBy>Falser Kristina</cp:lastModifiedBy>
  <cp:revision/>
  <dcterms:created xsi:type="dcterms:W3CDTF">2017-11-15T12:24:13Z</dcterms:created>
  <dcterms:modified xsi:type="dcterms:W3CDTF">2026-03-04T08:45:07Z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0x0101002001912815CBF14089A6F01FE1C92C8E</vt:lpwstr>
  </property>
  <property fmtid="{D5CDD505-2E9C-101B-9397-08002B2CF9AE}" pid="3" name="MediaServiceImageTags">
    <vt:lpwstr/>
  </property>
</Properties>
</file>